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0240" windowHeight="14640" firstSheet="1" activeTab="6"/>
  </bookViews>
  <sheets>
    <sheet name="00 使用与评分规则" sheetId="1" r:id="rId1"/>
    <sheet name="01 参数" sheetId="2" r:id="rId2"/>
    <sheet name="02 评分标准" sheetId="3" r:id="rId3"/>
    <sheet name="03 诊断评分" sheetId="4" r:id="rId4"/>
    <sheet name="04 诊断汇总" sheetId="5" r:id="rId5"/>
    <sheet name="05 建设计划" sheetId="6" r:id="rId6"/>
    <sheet name="06 填写示例" sheetId="7" r:id="rId7"/>
    <sheet name="07 参考依据与取舍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<sst xmlns="http://schemas.openxmlformats.org/spreadsheetml/2006/main" count="3595" uniqueCount="1762">
  <si>
    <t>制造数智化水平诊断与MOM建设规划 · 零差云控资料诊断 V2.2</t>
  </si>
  <si>
    <t>事实时点覆盖2026年9—10月访谈，新增2026-10-20质量调研；本轮更新日期2026-10-20。未赋分不计0，正式综合分与整厂等级仍不输出。</t>
  </si>
  <si>
    <t>项目</t>
  </si>
  <si>
    <t>规则与填写要求</t>
  </si>
  <si>
    <t>用途与边界</t>
  </si>
  <si>
    <t>本文件在通用V2.0模型上完成机器人关节企业的既有资料诊断。企业称谓取自调研资料；正式法人、厂区/产品全覆盖及评分批准均未补造。V2.0通用模板保持不变。</t>
  </si>
  <si>
    <t>范围排除</t>
  </si>
  <si>
    <t>排除产品研发仿真、市场营销、客户服务、商务采购、厂外运输及供应链网络、财务和一般人事行政。保留制造直接需要的工程发布、制造需求、到料/质量状态、工序委外及系统接口。范围内制造仓库、线边与在制物流纳入。</t>
  </si>
  <si>
    <t>填写顺序</t>
  </si>
  <si>
    <t>本轮基于用户修订V2.1，仅更新F01—F10质量事实、判分和建设建议，并同步资料范围与汇总。02评分锚点、权重及非质量领域的既有输入保持。E18—E19为新增质量来源。</t>
  </si>
  <si>
    <t>模型性质</t>
  </si>
  <si>
    <t>0—5分与权重沿用V2.0自定义模型。本次新增“资料判定完成”状态：表示已按既有确认事实完成专业判分，不表示企业复核签认、现场测评完成、合规认证或官方成熟度等级。</t>
  </si>
  <si>
    <t>分档总原则</t>
  </si>
  <si>
    <t>0经核查基本控制缺失；1零散依赖个人；2局部规范及数字记录；3数字流程支持范围内受控协同；4量化分析并验证改善；5持续保持并在可比场景复用。业务数据/执行类达到2分需有结构化电子记录，3分需实际数字流程支持执行、交换和例外控制；治理、技能及适配论证类以受控执行记录为准。结合02锚点，按满足低档基础及本档全部要求的最高整数评分。</t>
  </si>
  <si>
    <t>未知与0分</t>
  </si>
  <si>
    <t>未调研、待确认、仅有需求、例子或有冲突而不能判定的项目不赋分。空白不计0、不改为不适用；不从“需建设”推断“完全没有”。已确认的局部事实即使不足以赋分仍予保留。</t>
  </si>
  <si>
    <t>证据与抽样</t>
  </si>
  <si>
    <t>本轮质量资料来自10月20日访谈正文及关联文字记录，未新增现场观察、原始单据抽样或连续运行验证；未将访谈中的例单视为已完成原模板建议的连续3个月、3个典型及1个异常样本核验。</t>
  </si>
  <si>
    <t>覆盖和高分</t>
  </si>
  <si>
    <t>质量专项已访。按已证实范围补评检验要求、执行、校准、不合格及8D等；过程统计的等效方法与产成品反查范围仍待补证。分档只取已支持档位，不将未核实的更高能力视作确定缺失。</t>
  </si>
  <si>
    <t>适用性与排除</t>
  </si>
  <si>
    <t>适用性按既有输入保留；本轮不新增排除指标。不适用仍须满足原模板的范围说明及企业复核条件；未访谈、未赋分或证据不足不能替代排除批准。</t>
  </si>
  <si>
    <t>确认要求</t>
  </si>
  <si>
    <t>G为诊断/复核分，J为现状和来源，X为判分或留空说明，L/M记录本轮方式及日期。企业复核人N和日期V依实际签认填写；本轮质量仅作资料判分，不代填签认或参与人任职。</t>
  </si>
  <si>
    <t>计分与分母</t>
  </si>
  <si>
    <t>资料已判定项与企业已复核项可进入“已判定部分参考分”；未赋分项保留原权重，不计0、不作排除。正式综合分必须全部完成、没有仅资料判定项，且企业范围/权重确认及原复核条件满足。资料完成率不等于企业复核完成率。</t>
  </si>
  <si>
    <t>结果解释</t>
  </si>
  <si>
    <t>参考分只描述已判定范围，需同时阅读数量覆盖、权重覆盖及未赋分原因。质量新增资料提高覆盖，不代表期间能力已改善；没有连续运行样本和企业复核，不作整厂成熟度或收益结论。</t>
  </si>
  <si>
    <t>目标与排序</t>
  </si>
  <si>
    <t>保留用户已填目标及业务影响，本轮不代填质量领域的目标/影响。低于3分的关键基础项沿用模型提示；建设顺序与验收仍须结合风险、价值及依赖确定。</t>
  </si>
  <si>
    <t>建设规划</t>
  </si>
  <si>
    <t>本轮更新质量建议动作及待补证内容，其他计划输入沿用原表。建议动作不表示已批准范围、投入、责任或实施日期；阶段仍为模型依赖提示。</t>
  </si>
  <si>
    <t>跨期比较</t>
  </si>
  <si>
    <t>比较前确认范围、样本期间、指标口径、权重、排除项和评分尺度一致；变化应另附说明。领域或高阶能力有差异时逐项解释，不能只比较综合分。</t>
  </si>
  <si>
    <t>颜色及维护</t>
  </si>
  <si>
    <t>黄色为人工输入，浅绿为公式结果；白/浅蓝为参考内容。可筛选和排序数据表。新增/删除指标需同步维护标准、诊断、汇总和计划的ID范围；不要仅插入一行即直接使用。</t>
  </si>
  <si>
    <t>修订记录</t>
  </si>
  <si>
    <t>V1.0→V2.0：通用离散制造模型重构为10领域84项。V2.0→V2.1（2026-10-15）：按既有确认资料填诊断、列出未赋分原因、关联原记录及建议动作；增加资料判定与企业复核区分，保留正式结果门控。原版均保留。 V2.1→V2.2（2026-10-20）：以用户修订版为底稿，纳入质量纪要及文字记录，补评6项、复核保留2项、2项继续待补证；同步质量建议和汇总，保留原版。</t>
  </si>
  <si>
    <t>评估参数与领域权重</t>
  </si>
  <si>
    <t>先确认范围、证据期间和权重；黄色为输入，浅绿为公式。领域权重按百分制填写，如10表示10%。</t>
  </si>
  <si>
    <t>参数</t>
  </si>
  <si>
    <t>值</t>
  </si>
  <si>
    <t>说明</t>
  </si>
  <si>
    <t>企业/组织名称</t>
  </si>
  <si>
    <t>零差云控</t>
  </si>
  <si>
    <t>填写被评估组织名称</t>
  </si>
  <si>
    <t>制造评估范围</t>
  </si>
  <si>
    <t>资料覆盖：现有关节装配/测试、工程交付、计划、厂内物料、部分设备及10月20日质量访谈范围。产品/产线完整边界仍未批准。</t>
  </si>
  <si>
    <t>工厂、车间、产线、产品族及生产模式；明确单份表的边界</t>
  </si>
  <si>
    <t>范围排除说明</t>
  </si>
  <si>
    <t>本轮不新增评分项排除；质量过程统计等效方法、产成品反查，机加全面能力、安全/恢复/能源等仍有未核实内容。</t>
  </si>
  <si>
    <t>无排除填写“无”；列清未覆盖区域/工艺，不能事后因低分删除</t>
  </si>
  <si>
    <t>证据覆盖期间</t>
  </si>
  <si>
    <t>2026-09-23至2026-10-20访谈及用户纪要；本轮新增质量纪要和关联文字记录，不代表连续运行抽样。</t>
  </si>
  <si>
    <t>例如2026-07-01至2026-09-30；同时说明关键班次/样本范围</t>
  </si>
  <si>
    <t>诊断日期</t>
  </si>
  <si>
    <t>输入实际Excel日期值</t>
  </si>
  <si>
    <t>评估负责人</t>
  </si>
  <si>
    <r>
      <rPr>
        <sz val="11"/>
        <color rgb="FF24344A"/>
        <rFont val="Arial"/>
        <charset val="134"/>
      </rPr>
      <t xml:space="preserve">GPT-6.1 Sol </t>
    </r>
    <r>
      <rPr>
        <sz val="11"/>
        <color rgb="FF24344A"/>
        <rFont val="宋体-简"/>
        <charset val="134"/>
      </rPr>
      <t>高</t>
    </r>
  </si>
  <si>
    <t>填写姓名与岗位</t>
  </si>
  <si>
    <t>复核负责人</t>
  </si>
  <si>
    <t>柳钦</t>
  </si>
  <si>
    <t>总权重</t>
  </si>
  <si>
    <t>公式；领域权重为百分制数值，合计100</t>
  </si>
  <si>
    <t>制造治理与人员</t>
  </si>
  <si>
    <t>本表建议权重；领域内等权，评估前可调整并说明</t>
  </si>
  <si>
    <t>工程与制造数据</t>
  </si>
  <si>
    <t>计划与车间调度</t>
  </si>
  <si>
    <t>生产执行</t>
  </si>
  <si>
    <t>厂内物料与物流</t>
  </si>
  <si>
    <t>质量与追溯</t>
  </si>
  <si>
    <t>设备工装与维护</t>
  </si>
  <si>
    <t>现场连接与自动化</t>
  </si>
  <si>
    <t>架构集成与安全</t>
  </si>
  <si>
    <t>制造绩效与持续改善</t>
  </si>
  <si>
    <t>范围及权重确认</t>
  </si>
  <si>
    <t>已确认</t>
  </si>
  <si>
    <t>边界、排除及权重经业务负责人确认后选“已确认”</t>
  </si>
  <si>
    <t>评分模型</t>
  </si>
  <si>
    <t>本表自定义0—5档</t>
  </si>
  <si>
    <t>不是工信部数字化等级/CMMM/灯塔工厂认证评级</t>
  </si>
  <si>
    <t>权重调整依据</t>
  </si>
  <si>
    <t>本次沿用V2.0建议权重；企业尚未签认范围及权重。</t>
  </si>
  <si>
    <t>填写调整的业务风险、价值依据及确认人；沿用建议可填“沿用本表建议”</t>
  </si>
  <si>
    <t>84项制造能力评分标准</t>
  </si>
  <si>
    <t>每项按满足基础条件的最高整数档评分；高分须覆盖所评范围、例外受控，并有改善和保持证据。来源编号与适用取舍见07页。</t>
  </si>
  <si>
    <t>编号</t>
  </si>
  <si>
    <t>业务领域</t>
  </si>
  <si>
    <t>诊断指标</t>
  </si>
  <si>
    <t>适用边界/说明</t>
  </si>
  <si>
    <t>0分：控制缺失</t>
  </si>
  <si>
    <t>1分：零散做法</t>
  </si>
  <si>
    <t>2分：局部规范</t>
  </si>
  <si>
    <t>3分：受控协同</t>
  </si>
  <si>
    <t>4分：量化改善</t>
  </si>
  <si>
    <t>5分：保持与复用</t>
  </si>
  <si>
    <t>建议核查证据</t>
  </si>
  <si>
    <t>关键基础</t>
  </si>
  <si>
    <t>依据定位（主题映射）</t>
  </si>
  <si>
    <t>建设动作建议</t>
  </si>
  <si>
    <t>建议依赖阶段</t>
  </si>
  <si>
    <t>A01</t>
  </si>
  <si>
    <t>制造目标与业务价值</t>
  </si>
  <si>
    <t>所有评估范围</t>
  </si>
  <si>
    <t>经核查未建立制造改善目标及收益基线的基本规则，执行或结果无法可靠追溯</t>
  </si>
  <si>
    <t>对制造改善目标及收益基线已有个别做法，主要依靠个人和零散记录，缺乏一致规则</t>
  </si>
  <si>
    <t>已有制造目标及问题清单，部分有基线</t>
  </si>
  <si>
    <t>交付、质量、成本等目标与能力建设任务、责任人对应并定期复核</t>
  </si>
  <si>
    <t>按目标偏差调整投资与建设顺序，能核实实际改善贡献</t>
  </si>
  <si>
    <t>形成滚动价值管理，持续淘汰低效场景并复用有效实践</t>
  </si>
  <si>
    <t>目标分解、基线、评审记录、改善复盘</t>
  </si>
  <si>
    <t>是</t>
  </si>
  <si>
    <t>S03 表1；S06 §2.5.5、§2.7；M01专业细化</t>
  </si>
  <si>
    <t>建立制造目标—问题—能力—项目—收益对应关系</t>
  </si>
  <si>
    <t>阶段A：规范与基础</t>
  </si>
  <si>
    <t>A02</t>
  </si>
  <si>
    <t>流程责任与跨岗协作</t>
  </si>
  <si>
    <t>经核查未建立制造流程责任和交接规则的基本规则，执行或结果无法可靠追溯</t>
  </si>
  <si>
    <t>对制造流程责任和交接规则已有个别做法，主要依靠个人和零散记录，缺乏一致规则</t>
  </si>
  <si>
    <t>主要流程、岗位职责及交接单据已定义</t>
  </si>
  <si>
    <t>计划、生产、物流、质量、设备的交接与异常升级按统一规则执行</t>
  </si>
  <si>
    <t>用交接时效和反复退回数据识别并改善责任断点</t>
  </si>
  <si>
    <t>随产品与组织变化持续优化协作规则且能证明运行效果</t>
  </si>
  <si>
    <t>流程图、责任表、交接及升级案例</t>
  </si>
  <si>
    <t>确定流程负责人、输入输出、审批和升级时限</t>
  </si>
  <si>
    <t>A03</t>
  </si>
  <si>
    <t>制造数据责任与标准维护</t>
  </si>
  <si>
    <t>经核查未建立制造数据归属和维护责任的基本规则，执行或结果无法可靠追溯</t>
  </si>
  <si>
    <t>对制造数据归属和维护责任已有个别做法，主要依靠个人和零散记录，缺乏一致规则</t>
  </si>
  <si>
    <t>关键数据有管理人、命名和修改规则</t>
  </si>
  <si>
    <t>主数据及现场记录有审核、发布、纠错和定期检查责任</t>
  </si>
  <si>
    <t>按差错来源与使用影响实施数据质量治理</t>
  </si>
  <si>
    <t>建立可复用治理规则，持续降低错误传播与维护成本</t>
  </si>
  <si>
    <t>数据责任清单、变更记录、差错闭环</t>
  </si>
  <si>
    <t>明确数据所有者、维护者及消费环节</t>
  </si>
  <si>
    <t>A04</t>
  </si>
  <si>
    <t>岗位技能与操作资格</t>
  </si>
  <si>
    <t>只评制造岗位，不评招聘薪酬</t>
  </si>
  <si>
    <t>经核查未建立制造岗位技能和上岗资格的基本规则，执行或结果无法可靠追溯</t>
  </si>
  <si>
    <t>对制造岗位技能和上岗资格已有个别做法，主要依靠个人和零散记录，缺乏一致规则</t>
  </si>
  <si>
    <t>有技能矩阵、培训和资格记录</t>
  </si>
  <si>
    <t>岗位、产品或工序所需资格与派工/上岗核验关联，失效可阻止或受控授权</t>
  </si>
  <si>
    <t>分析误操作与资格、培训关联并优化训练</t>
  </si>
  <si>
    <t>通过复训与岗位调整验证能力提升，形成可复用训练内容</t>
  </si>
  <si>
    <t>技能矩阵、资格期限、上岗核验与授权记录</t>
  </si>
  <si>
    <t>否</t>
  </si>
  <si>
    <t>建立岗位技能、复训及资格核验机制</t>
  </si>
  <si>
    <t>A05</t>
  </si>
  <si>
    <t>一线使用与数字作业覆盖</t>
  </si>
  <si>
    <t>经核查未建立各班次数字流程实际使用的基本规则，执行或结果无法可靠追溯</t>
  </si>
  <si>
    <t>对各班次数字流程实际使用已有个别做法，主要依靠个人和零散记录，缺乏一致规则</t>
  </si>
  <si>
    <t>部分工位使用电子记录，有操作说明</t>
  </si>
  <si>
    <t>评估范围关键班次均按受控流程作业，绕过与补录有审批</t>
  </si>
  <si>
    <t>使用日志、现场抽样与业务结果一致，主动消除重复录入和绕过</t>
  </si>
  <si>
    <t>根据一线反馈持续简化作业，改进后使用覆盖和准确性稳定提升</t>
  </si>
  <si>
    <t>班次抽查、使用日志、补录及绕过记录</t>
  </si>
  <si>
    <t>以典型和异常作业穿行验证真实使用</t>
  </si>
  <si>
    <t>A06</t>
  </si>
  <si>
    <t>制造系统运维与服务</t>
  </si>
  <si>
    <t>含自建、外包、云服务</t>
  </si>
  <si>
    <t>经核查未建立现场系统故障处理和服务责任的基本规则，执行或结果无法可靠追溯</t>
  </si>
  <si>
    <t>对现场系统故障处理和服务责任已有个别做法，主要依靠个人和零散记录，缺乏一致规则</t>
  </si>
  <si>
    <t>有联系人、问题记录及基本响应安排</t>
  </si>
  <si>
    <t>分级响应、变更发布、现场支持和恢复职责执行并留痕</t>
  </si>
  <si>
    <t>依据故障影响、恢复时长和重复问题优化服务</t>
  </si>
  <si>
    <t>运维知识持续复用，故障预防与恢复能力经演练改善</t>
  </si>
  <si>
    <t>工单、服务约定、故障复盘、演练</t>
  </si>
  <si>
    <t>建立现场服务职责、值守和问题闭环</t>
  </si>
  <si>
    <t>A07</t>
  </si>
  <si>
    <t>建设资源与变更治理</t>
  </si>
  <si>
    <t>只评制造相关投入与发布</t>
  </si>
  <si>
    <t>经核查未建立制造能力建设和发布治理的基本规则，执行或结果无法可靠追溯</t>
  </si>
  <si>
    <t>对制造能力建设和发布治理已有个别做法，主要依靠个人和零散记录，缺乏一致规则</t>
  </si>
  <si>
    <t>建设任务有负责人、资源及变更记录</t>
  </si>
  <si>
    <t>范围、成本、人员、停产窗口和发布验收经业务联合评审</t>
  </si>
  <si>
    <t>比较交付与实际业务效果，及时调整资源与范围</t>
  </si>
  <si>
    <t>形成可重复推广的实施机制，持续降低切换与变更损失</t>
  </si>
  <si>
    <t>项目清单、资源安排、发布和验收记录</t>
  </si>
  <si>
    <t>按业务依赖和窗口管理制造建设组合</t>
  </si>
  <si>
    <t>A08</t>
  </si>
  <si>
    <t>现场安全与环境作业控制</t>
  </si>
  <si>
    <t>不限于必须安装在线监测；数字化能力不代替法定安全评估</t>
  </si>
  <si>
    <t>经核查未建立制造安全风险和环境作业约束的基本规则，执行或结果无法可靠追溯</t>
  </si>
  <si>
    <t>对制造安全风险和环境作业约束已有个别做法，主要依靠个人和零散记录，缺乏一致规则</t>
  </si>
  <si>
    <t>有风险点、规程和检查记录</t>
  </si>
  <si>
    <t>关键安全/环境条件、人员许可与现场作业衔接，异常有处置闭环</t>
  </si>
  <si>
    <t>按事件、险情和监测数据改进预防措施并验证</t>
  </si>
  <si>
    <t>风险控制随工艺变化更新，预防措施持续验证和推广</t>
  </si>
  <si>
    <t>风险台账、作业许可、联锁测试、处置记录</t>
  </si>
  <si>
    <t>识别制造安全边界并落实作业条件与异常流程</t>
  </si>
  <si>
    <t>B01</t>
  </si>
  <si>
    <t>物料编码与计量标准</t>
  </si>
  <si>
    <t>包装采购只保留制造收发与计量，不评商务采购</t>
  </si>
  <si>
    <t>经核查未建立物料身份、属性及计量单位的基本规则，执行或结果无法可靠追溯</t>
  </si>
  <si>
    <t>对物料身份、属性及计量单位已有个别做法，主要依靠个人和零散记录，缺乏一致规则</t>
  </si>
  <si>
    <t>主要物料有唯一编码、基础属性和单位表</t>
  </si>
  <si>
    <t>制造使用的编码、单位换算、精度及包装数量在相关系统一致受控</t>
  </si>
  <si>
    <t>监测重复编码、转换尾差和现场误用并闭环</t>
  </si>
  <si>
    <t>随品类变化复用规则，持续降低建码与计量差错</t>
  </si>
  <si>
    <t>编码规范、换算表、跨系统及实物核对</t>
  </si>
  <si>
    <t>S01 数字化经营：工艺设计；S03 表4工艺设计；S05 §8、§10.3.2.2；M01专业细化</t>
  </si>
  <si>
    <t>统一制造编码、单位、包装和精度规则</t>
  </si>
  <si>
    <t>B02</t>
  </si>
  <si>
    <t>制造BOM及版本</t>
  </si>
  <si>
    <t>不评产品设计工具</t>
  </si>
  <si>
    <t>经核查未建立制造用料结构和用量版本的基本规则，执行或结果无法可靠追溯</t>
  </si>
  <si>
    <t>对制造用料结构和用量版本已有个别做法，主要依靠个人和零散记录，缺乏一致规则</t>
  </si>
  <si>
    <t>有制造BOM、用量和版本记录</t>
  </si>
  <si>
    <t>按产品/订单正确调用生效BOM，损耗、有效期和变更可追溯</t>
  </si>
  <si>
    <t>BOM与实际耗用、损耗差异定期核对并纠正</t>
  </si>
  <si>
    <t>按反馈持续优化结构和损耗参数，验证备料与核算改善</t>
  </si>
  <si>
    <t>MBOM、版本生效、工单与实耗核对</t>
  </si>
  <si>
    <t>建立受控制造BOM发布和实耗反馈</t>
  </si>
  <si>
    <t>B03</t>
  </si>
  <si>
    <t>替代料、组替代与位号</t>
  </si>
  <si>
    <t>客观无替代和位置约束时可申请排除</t>
  </si>
  <si>
    <t>经核查未建立有条件用料和装配位置规则的基本规则，执行或结果无法可靠追溯</t>
  </si>
  <si>
    <t>对有条件用料和装配位置规则已有个别做法，主要依靠个人和零散记录，缺乏一致规则</t>
  </si>
  <si>
    <t>适用产品有替代关系、替代条件及位置清单</t>
  </si>
  <si>
    <t>组替代、配套限制、位号及允许混用规则参与备料和实装校验</t>
  </si>
  <si>
    <t>可识别错替、跨版本混用并分析对质量与供应可用性的影响</t>
  </si>
  <si>
    <t>依据实际验证结果维护替代规则并复用到同类产品</t>
  </si>
  <si>
    <t>替代审批、组关系、位号、实装及错料拦截</t>
  </si>
  <si>
    <t>将适用的复杂用料约束结构化并验证</t>
  </si>
  <si>
    <t>B04</t>
  </si>
  <si>
    <t>工艺路线与特殊路径</t>
  </si>
  <si>
    <t>只对实际存在的特殊路径验收，不强制创造并行工序</t>
  </si>
  <si>
    <t>经核查未建立顺序、并行及可选工序路线的基本规则，执行或结果无法可靠追溯</t>
  </si>
  <si>
    <t>对顺序、并行及可选工序路线已有个别做法，主要依靠个人和零散记录，缺乏一致规则</t>
  </si>
  <si>
    <t>有路线、工序及资源说明</t>
  </si>
  <si>
    <t>顺序、并行、汇合、跳转、替代及委外节点按适用规则受控发布</t>
  </si>
  <si>
    <t>分析路线偏离和等待，验证路线调整对交付质量的影响</t>
  </si>
  <si>
    <t>可复用配置快速支持新路径，持续验证执行及调度一致性</t>
  </si>
  <si>
    <t>路线图、工序依赖、版本与异常路径穿行</t>
  </si>
  <si>
    <t>建立工序依赖、可选路径与资源约束模型</t>
  </si>
  <si>
    <t>B05</t>
  </si>
  <si>
    <t>工艺参数、程序与作业文件</t>
  </si>
  <si>
    <t>无自动设备时以受控作业资料实现等效能力</t>
  </si>
  <si>
    <t>经核查未建立制造现场使用的受控技术资料的基本规则，执行或结果无法可靠追溯</t>
  </si>
  <si>
    <t>对制造现场使用的受控技术资料已有个别做法，主要依靠个人和零散记录，缺乏一致规则</t>
  </si>
  <si>
    <t>有SOP、参数或程序清单及版本</t>
  </si>
  <si>
    <t>按工单/工位/产品匹配生效资料，过期版禁用，修改审批留痕</t>
  </si>
  <si>
    <t>核对下发与实际使用版本/参数，分析偏离并反馈工艺</t>
  </si>
  <si>
    <t>经验证的工艺窗口与知识可复用，持续降低调参及误用损失</t>
  </si>
  <si>
    <t>SOP、参数范围、程序版本、读取和使用记录</t>
  </si>
  <si>
    <t>落实作业文件、参数及程序的发布和回读核验</t>
  </si>
  <si>
    <t>B06</t>
  </si>
  <si>
    <t>ECN生效与在制处置</t>
  </si>
  <si>
    <t>只评工程输出到制造的变更控制</t>
  </si>
  <si>
    <t>经核查未建立制造变更发布及存量处置的基本规则，执行或结果无法可靠追溯</t>
  </si>
  <si>
    <t>对制造变更发布及存量处置已有个别做法，主要依靠个人和零散记录，缺乏一致规则</t>
  </si>
  <si>
    <t>有变更通知、版本及影响记录</t>
  </si>
  <si>
    <t>变更明确时间/批次/序列号生效，库存、在制、返工及旧版资料按规则处置</t>
  </si>
  <si>
    <t>跨系统核查变更执行与实物一致，分析遗漏和切换损失</t>
  </si>
  <si>
    <t>变更影响分析与验证记录复用，持续缩短切换周期并降低错误</t>
  </si>
  <si>
    <t>ECN、受影响清单、生效验证、在制处置</t>
  </si>
  <si>
    <t>建立变更影响分析、生效和现场验证闭环</t>
  </si>
  <si>
    <t>B07</t>
  </si>
  <si>
    <t>工时、资源与能力基准</t>
  </si>
  <si>
    <t>按加工、装配等模式定义，不强制同一口径</t>
  </si>
  <si>
    <t>经核查未建立制造标准工时和资源能力的基本规则，执行或结果无法可靠追溯</t>
  </si>
  <si>
    <t>对制造标准工时和资源能力已有个别做法，主要依靠个人和零散记录，缺乏一致规则</t>
  </si>
  <si>
    <t>有工时、节拍、设备/工装能力及维护人</t>
  </si>
  <si>
    <t>基准区分准备与加工时间、批量及资源约束，排产与现场共同使用</t>
  </si>
  <si>
    <t>按实际工时、良率和停机校正基准，验证误差</t>
  </si>
  <si>
    <t>基准按适用场景持续更新和复用，稳定支持承诺与调度</t>
  </si>
  <si>
    <t>工时测定、资源能力表、排产与实际偏差</t>
  </si>
  <si>
    <t>建立可维护的工时、节拍及能力数据</t>
  </si>
  <si>
    <t>B08</t>
  </si>
  <si>
    <t>试制到量产制造准备</t>
  </si>
  <si>
    <t>不评研发立项、设计仿真和市场产品规划</t>
  </si>
  <si>
    <t>经核查未建立新产品/新工艺的制造交付的基本规则，执行或结果无法可靠追溯</t>
  </si>
  <si>
    <t>对新产品/新工艺的制造交付已有个别做法，主要依靠个人和零散记录，缺乏一致规则</t>
  </si>
  <si>
    <t>有试制记录、工艺资料和问题清单</t>
  </si>
  <si>
    <t>量产前确认MBOM、路线、质量计划、设备工装及人员就绪，遗留问题有放行责任</t>
  </si>
  <si>
    <t>以爬坡质量、工时和变更数据改进制造准备</t>
  </si>
  <si>
    <t>同类工艺复用准备包与问题知识，缩短受控转产周期</t>
  </si>
  <si>
    <t>试制工单、制造准备评审、放行及爬坡记录</t>
  </si>
  <si>
    <t>建立制造准备及量产放行检查清单</t>
  </si>
  <si>
    <t>C01</t>
  </si>
  <si>
    <t>制造需求承接</t>
  </si>
  <si>
    <t>不评销售预测和市场营销</t>
  </si>
  <si>
    <t>经核查未建立订单/主计划进入制造的规则的基本规则，执行或结果无法可靠追溯</t>
  </si>
  <si>
    <t>对订单/主计划进入制造的规则已有个别做法，主要依靠个人和零散记录，缺乏一致规则</t>
  </si>
  <si>
    <t>制造任务有数量、交期和产品版本记录</t>
  </si>
  <si>
    <t>来自上层系统的需求、优先级及变更统一进入制造计划，来源可追溯</t>
  </si>
  <si>
    <t>分析需求变更对产能、物料和承诺的影响并反馈</t>
  </si>
  <si>
    <t>制造约束反馈能持续改善承诺准确性与变更响应</t>
  </si>
  <si>
    <t>订单/主计划接口、变更、反馈记录</t>
  </si>
  <si>
    <t>S01 计划排程；S03 表5计划与调度；S05 §10.2；M01专业细化</t>
  </si>
  <si>
    <t>定义制造需求输入输出与变更责任</t>
  </si>
  <si>
    <t>阶段B：制造闭环</t>
  </si>
  <si>
    <t>C02</t>
  </si>
  <si>
    <t>有限能力与约束排程</t>
  </si>
  <si>
    <t>算法和软件品牌不作为得分条件</t>
  </si>
  <si>
    <t>经核查未建立制造排程所使用的资源约束的基本规则，执行或结果无法可靠追溯</t>
  </si>
  <si>
    <t>对制造排程所使用的资源约束已有个别做法，主要依靠个人和零散记录，缺乏一致规则</t>
  </si>
  <si>
    <t>有日历、产能及基本排程表</t>
  </si>
  <si>
    <t>排程考虑人员技能、设备、工装、维护、物料与工序依赖等实际约束</t>
  </si>
  <si>
    <t>比较排程与执行偏差，利用可核实的约束模型优化交付</t>
  </si>
  <si>
    <t>随约束和扰动更新策略，持续验证交期、在制与换型综合改善</t>
  </si>
  <si>
    <t>日历、资源占用、排程结果与现场核验</t>
  </si>
  <si>
    <t>先校准能力与约束，再配置合适的排程方法</t>
  </si>
  <si>
    <t>C03</t>
  </si>
  <si>
    <t>齐套与投产准备</t>
  </si>
  <si>
    <t>到料信息只作为制造接口输入</t>
  </si>
  <si>
    <t>经核查未建立投产前制造资源就绪的基本规则，执行或结果无法可靠追溯</t>
  </si>
  <si>
    <t>对投产前制造资源就绪已有个别做法，主要依靠个人和零散记录，缺乏一致规则</t>
  </si>
  <si>
    <t>有备料和开工准备检查</t>
  </si>
  <si>
    <t>物料数量/状态、文件版本、设备工装及资格满足后方可投产，缺项有受控放行</t>
  </si>
  <si>
    <t>对缺套和准备延迟做原因分析并改善准备提前量</t>
  </si>
  <si>
    <t>动态准备机制降低停等和提前投料，效果持续可核实</t>
  </si>
  <si>
    <t>齐套表、准备核查、缺项放行与停等记录</t>
  </si>
  <si>
    <t>建立资源就绪和开工放行规则</t>
  </si>
  <si>
    <t>C04</t>
  </si>
  <si>
    <t>批量、换型与顺序优化</t>
  </si>
  <si>
    <t>单件制造可用作业准备与资源切换评价</t>
  </si>
  <si>
    <t>经核查未建立制造批量和换型安排的基本规则，执行或结果无法可靠追溯</t>
  </si>
  <si>
    <t>对制造批量和换型安排已有个别做法，主要依靠个人和零散记录，缺乏一致规则</t>
  </si>
  <si>
    <t>记录生产批量、换型时间与排序原则</t>
  </si>
  <si>
    <t>按交期、物料、经济批量、清线及换型约束安排顺序</t>
  </si>
  <si>
    <t>以换型损失、在制和交期数据比较方案并改善</t>
  </si>
  <si>
    <t>策略随产品组合变化调整且综合效果持续有效</t>
  </si>
  <si>
    <t>排程、换型记录、在制与交期对照</t>
  </si>
  <si>
    <t>明确定义批量、换型矩阵和排序约束</t>
  </si>
  <si>
    <t>C05</t>
  </si>
  <si>
    <t>工序派工与任务下达</t>
  </si>
  <si>
    <t>所有制造范围</t>
  </si>
  <si>
    <t>经核查未建立任务分解、派工和签收的基本规则，执行或结果无法可靠追溯</t>
  </si>
  <si>
    <t>对任务分解、派工和签收已有个别做法，主要依靠个人和零散记录，缺乏一致规则</t>
  </si>
  <si>
    <t>有工序任务及责任岗位</t>
  </si>
  <si>
    <t>派工关联路线、资源、数量和优先级，变更同步到正确工位并可确认</t>
  </si>
  <si>
    <t>分析任务下达、签收和执行延迟，优化派工节奏</t>
  </si>
  <si>
    <t>派工策略按现场负荷与实际表现持续调整和复用</t>
  </si>
  <si>
    <t>派工单、任务队列、签收及撤回日志</t>
  </si>
  <si>
    <t>贯通工单、工序、工位任务及撤回机制</t>
  </si>
  <si>
    <t>C06</t>
  </si>
  <si>
    <t>进度反馈与瓶颈识别</t>
  </si>
  <si>
    <t>经核查未建立实际进度、排队和瓶颈的基本规则，执行或结果无法可靠追溯</t>
  </si>
  <si>
    <t>对实际进度、排队和瓶颈已有个别做法，主要依靠个人和零散记录，缺乏一致规则</t>
  </si>
  <si>
    <t>有在制数量、工序进度及异常记录</t>
  </si>
  <si>
    <t>及时反馈完成、排队、停等、返工和剩余负荷，计划与现场状态一致</t>
  </si>
  <si>
    <t>利用实际等待与吞吐识别瓶颈并验证改善</t>
  </si>
  <si>
    <t>瓶颈随产品组合变化持续更新，改善能稳定提升交付和流动</t>
  </si>
  <si>
    <t>在制清单、时间戳、队列、瓶颈改善前后数据</t>
  </si>
  <si>
    <t>统一进度与在制口径，建立瓶颈分析</t>
  </si>
  <si>
    <t>C07</t>
  </si>
  <si>
    <t>插单、停机与计划调整</t>
  </si>
  <si>
    <t>按实际扰动验收，不要求全部自动决策</t>
  </si>
  <si>
    <t>经核查未建立扰动下的重排和任务处置的基本规则，执行或结果无法可靠追溯</t>
  </si>
  <si>
    <t>对扰动下的重排和任务处置已有个别做法，主要依靠个人和零散记录，缺乏一致规则</t>
  </si>
  <si>
    <t>有插单、变更、停机调整记录</t>
  </si>
  <si>
    <t>调整有影响评估、授权、版本及现场同步，冻结任务与在制处置明确</t>
  </si>
  <si>
    <t>比较备选方案对交期、换型和在制影响，追踪调整效果</t>
  </si>
  <si>
    <t>持续优化冻结期和响应策略，降低反复变更及恢复损失</t>
  </si>
  <si>
    <t>插单、设备异常、重排审批、任务同步案例</t>
  </si>
  <si>
    <t>建立计划变更、冻结、重排与反馈规则</t>
  </si>
  <si>
    <t>C08</t>
  </si>
  <si>
    <t>制造委外节点协同</t>
  </si>
  <si>
    <t>无工序委外可排除；不评采购招标、结算及厂外运输</t>
  </si>
  <si>
    <t>经核查未建立委外工序在制造流程中的交接的基本规则，执行或结果无法可靠追溯</t>
  </si>
  <si>
    <t>对委外工序在制造流程中的交接已有个别做法，主要依靠个人和零散记录，缺乏一致规则</t>
  </si>
  <si>
    <t>有委外节点、发送和回厂记录</t>
  </si>
  <si>
    <t>委外发出、在外状态、回厂检验及数量/批次与原工单一致可追溯</t>
  </si>
  <si>
    <t>分析委外交期、缺数和质量影响，及时反馈制造排程</t>
  </si>
  <si>
    <t>委外与自制衔接策略持续优化，效果在制造周期和追溯中可核实</t>
  </si>
  <si>
    <t>工艺委外单、批次、回厂检验及排程反馈</t>
  </si>
  <si>
    <t>贯通委外工序状态及数量、批次交接</t>
  </si>
  <si>
    <t>D01</t>
  </si>
  <si>
    <t>工单生命周期与身份</t>
  </si>
  <si>
    <t>按产品风险选择单件或批次追溯，不强制全序列化</t>
  </si>
  <si>
    <t>经核查未建立制造任务与产品/批次身份的基本规则，执行或结果无法可靠追溯</t>
  </si>
  <si>
    <t>对制造任务与产品/批次身份已有个别做法，主要依靠个人和零散记录，缺乏一致规则</t>
  </si>
  <si>
    <t>有工单、产品/批次编号和开结工记录</t>
  </si>
  <si>
    <t>工单创建、下达、暂停、恢复、取消及关闭受控，产品/批次唯一且关联</t>
  </si>
  <si>
    <t>监测孤立工单、重复身份和异常关闭并纠正</t>
  </si>
  <si>
    <t>工单与标识规则可复用于同类制造模式，持续降低记录差错</t>
  </si>
  <si>
    <t>工单状态、条码/标识、取消及关闭记录</t>
  </si>
  <si>
    <t>S01 生产管控；S03 表5生产执行；S05 §10.3；M01专业细化</t>
  </si>
  <si>
    <t>统一任务状态机与产品/批次身份规则</t>
  </si>
  <si>
    <t>D02</t>
  </si>
  <si>
    <t>开工条件与防错</t>
  </si>
  <si>
    <t>经核查未建立开工作业前的条件确认的基本规则，执行或结果无法可靠追溯</t>
  </si>
  <si>
    <t>对开工作业前的条件确认已有个别做法，主要依靠个人和零散记录，缺乏一致规则</t>
  </si>
  <si>
    <t>有开工检查和异常处理记录</t>
  </si>
  <si>
    <t>料、机、人、法、质量状态等适用条件按规则核验，错料错版可阻止或授权</t>
  </si>
  <si>
    <t>统计拦截、放行和漏检，验证防错有效性并改善</t>
  </si>
  <si>
    <t>依据失效模式持续调整校验，减少漏拦截与误拦截</t>
  </si>
  <si>
    <t>开工记录、错料错版测试、授权及日志</t>
  </si>
  <si>
    <t>把关键条件转为可执行校验和受控例外</t>
  </si>
  <si>
    <t>D03</t>
  </si>
  <si>
    <t>报工、工时与数量平衡</t>
  </si>
  <si>
    <t>经核查未建立实际完成、投入、损失与工时的基本规则，执行或结果无法可靠追溯</t>
  </si>
  <si>
    <t>对实际完成、投入、损失与工时已有个别做法，主要依靠个人和零散记录，缺乏一致规则</t>
  </si>
  <si>
    <t>有工序数量、工时及操作者记录</t>
  </si>
  <si>
    <t>及时记录良品、不良、报废、投入产出，补录和更正有审计，数量可平衡</t>
  </si>
  <si>
    <t>与设备、物料、检验数据交叉核对，分析漏报重报和工时偏差</t>
  </si>
  <si>
    <t>持续改进采集方式与规则，准确及时性及作业负担有验证</t>
  </si>
  <si>
    <t>报工时间戳、投入产出、补录与对账</t>
  </si>
  <si>
    <t>明确报工粒度、时间、数量平衡及更正流程</t>
  </si>
  <si>
    <t>D04</t>
  </si>
  <si>
    <t>在制流转与工序防跳漏</t>
  </si>
  <si>
    <t>经核查未建立在制位置和工序合法流转的基本规则，执行或结果无法可靠追溯</t>
  </si>
  <si>
    <t>对在制位置和工序合法流转已有个别做法，主要依靠个人和零散记录，缺乏一致规则</t>
  </si>
  <si>
    <t>有工序流转与在制台账</t>
  </si>
  <si>
    <t>转入转出、合格放行、前序完成及位置受控，跳漏序有授权</t>
  </si>
  <si>
    <t>识别积压、逆流和账实差异并闭环改善</t>
  </si>
  <si>
    <t>流转规则随工艺变化快速复用，持续降低在制与错误流转</t>
  </si>
  <si>
    <t>流程履历、在制盘点、跳序拦截和授权</t>
  </si>
  <si>
    <t>定义在制状态、工序准入和流转交接</t>
  </si>
  <si>
    <t>D05</t>
  </si>
  <si>
    <t>拆批、合批与分批完工</t>
  </si>
  <si>
    <t>客观无批次拆合可排除，不能因系统不支持排除</t>
  </si>
  <si>
    <t>经核查未建立批次拆合及部分转移关系的基本规则，执行或结果无法可靠追溯</t>
  </si>
  <si>
    <t>对批次拆合及部分转移关系已有个别做法，主要依靠个人和零散记录，缺乏一致规则</t>
  </si>
  <si>
    <t>适用业务有拆合批、部分完工记录</t>
  </si>
  <si>
    <t>拆分、合并及部分转移保留原始来源、数量、版本和检验状态，限制条件有效</t>
  </si>
  <si>
    <t>核查复杂批次链及数量平衡，分析追溯断链并修复规则</t>
  </si>
  <si>
    <t>规则可复用且在真实复杂案例中稳定保持身份和追溯完整</t>
  </si>
  <si>
    <t>父子批次、部分报工、合批限制和反查</t>
  </si>
  <si>
    <t>建立批次关系与部分数量状态模型</t>
  </si>
  <si>
    <t>D06</t>
  </si>
  <si>
    <t>并行、汇合与特殊工序执行</t>
  </si>
  <si>
    <t>无此路径可排除；工程定义在B04，本项评现场执行</t>
  </si>
  <si>
    <t>经核查未建立非简单顺序的现场路径的基本规则，执行或结果无法可靠追溯</t>
  </si>
  <si>
    <t>对非简单顺序的现场路径已有个别做法，主要依靠个人和零散记录，缺乏一致规则</t>
  </si>
  <si>
    <t>特殊路径有执行说明与记录</t>
  </si>
  <si>
    <t>并行分支、汇合条件、可选和重复工序按发布路线执行，必需分支不能遗漏</t>
  </si>
  <si>
    <t>以实绩检验依赖约束，改善并行等待和错误路径</t>
  </si>
  <si>
    <t>特殊路径模板可复用，变化后执行及追溯持续一致</t>
  </si>
  <si>
    <t>并行路径、汇合测试、可选工序和履历</t>
  </si>
  <si>
    <t>按路线依赖建立可验证的路径执行规则</t>
  </si>
  <si>
    <t>D07</t>
  </si>
  <si>
    <t>超单、欠量与数量偏差</t>
  </si>
  <si>
    <t>所有制造范围；没有超产不等于无需防控</t>
  </si>
  <si>
    <t>经核查未建立超产、少产及追加数量控制的基本规则，执行或结果无法可靠追溯</t>
  </si>
  <si>
    <t>对超产、少产及追加数量控制已有个别做法，主要依靠个人和零散记录，缺乏一致规则</t>
  </si>
  <si>
    <t>有数量偏差和追加记录</t>
  </si>
  <si>
    <t>超单/欠量阈值、授权、原因及关闭规则执行，实物与工单/库存不失配</t>
  </si>
  <si>
    <t>识别非授权超产、重复报工和异常损耗并纠正</t>
  </si>
  <si>
    <t>用偏差分析持续优化容差和投料策略，数量差异稳定下降</t>
  </si>
  <si>
    <t>容差、审批、工单追加、实物及库存核对</t>
  </si>
  <si>
    <t>明确数量容差、追加及短关闭处理</t>
  </si>
  <si>
    <t>D08</t>
  </si>
  <si>
    <t>返工返修与重复过站</t>
  </si>
  <si>
    <t>工厂禁止返修时核查隔离报废与禁止放行的等效控制</t>
  </si>
  <si>
    <t>经核查未建立异常品的制造处理路径的基本规则，执行或结果无法可靠追溯</t>
  </si>
  <si>
    <t>对异常品的制造处理路径已有个别做法，主要依靠个人和零散记录，缺乏一致规则</t>
  </si>
  <si>
    <t>有返工返修单及操作记录</t>
  </si>
  <si>
    <t>保留原始缺陷和履历，按批准路线返工、复测、再次放行，防止覆盖原结果</t>
  </si>
  <si>
    <t>分析返工循环、成本和复测结果，反馈工艺及质量改进</t>
  </si>
  <si>
    <t>验证后的返修方案可复用，持续降低重复缺陷与循环返工</t>
  </si>
  <si>
    <t>返工路线、原始与复测记录、再次放行</t>
  </si>
  <si>
    <t>建立保留原履历的返工返修流程</t>
  </si>
  <si>
    <t>D09</t>
  </si>
  <si>
    <t>异常呼叫与停复工</t>
  </si>
  <si>
    <t>经核查未建立制造异常响应和恢复的基本规则，执行或结果无法可靠追溯</t>
  </si>
  <si>
    <t>对制造异常响应和恢复已有个别做法，主要依靠个人和零散记录，缺乏一致规则</t>
  </si>
  <si>
    <t>有异常报告和处置记录</t>
  </si>
  <si>
    <t>异常按类别升级、限时响应、责任关闭，停工和复工条件明确</t>
  </si>
  <si>
    <t>分析响应、恢复和重复发生，验证预防措施</t>
  </si>
  <si>
    <t>基于历史异常调整预警与知识，持续减少停等损失</t>
  </si>
  <si>
    <t>异常单、时间戳、停复工及原因验证</t>
  </si>
  <si>
    <t>建立呼叫、升级、处置和复工确认流程</t>
  </si>
  <si>
    <t>D10</t>
  </si>
  <si>
    <t>交接班、换线与清场</t>
  </si>
  <si>
    <t>连续不换型场景按班次/任务交接评价</t>
  </si>
  <si>
    <t>经核查未建立班次与产品切换时的现场交接的基本规则，执行或结果无法可靠追溯</t>
  </si>
  <si>
    <t>对班次与产品切换时的现场交接已有个别做法，主要依靠个人和零散记录，缺乏一致规则</t>
  </si>
  <si>
    <t>有交班、换线和清场记录</t>
  </si>
  <si>
    <t>未结任务、在制、异常、余料及文件/工装切换交接清楚，混料残留受控</t>
  </si>
  <si>
    <t>分析交接遗漏和切换损失并改进标准作业</t>
  </si>
  <si>
    <t>切换经验持续复用，转换时间和混线风险控制效果稳定</t>
  </si>
  <si>
    <t>交接班、余料核对、清线检查及首件确认</t>
  </si>
  <si>
    <t>建立覆盖人、料、在制和状态的交接清场清单</t>
  </si>
  <si>
    <t>E01</t>
  </si>
  <si>
    <t>厂内库存位置与状态</t>
  </si>
  <si>
    <t>限制造相关仓库、线边与在制，不评外部仓网</t>
  </si>
  <si>
    <t>经核查未建立制造库存账、位、物、状态的基本规则，执行或结果无法可靠追溯</t>
  </si>
  <si>
    <t>对制造库存账、位、物、状态已有个别做法，主要依靠个人和零散记录，缺乏一致规则</t>
  </si>
  <si>
    <t>主要库存有物料、数量、库位和状态记录</t>
  </si>
  <si>
    <t>厂内收发存及冻结、待检、合格状态及时更新，未经放行不可领用</t>
  </si>
  <si>
    <t>通过盘点与事务核对分析账实差异并闭环</t>
  </si>
  <si>
    <t>库存规则随物流变化复用，账实和状态准确性持续稳定</t>
  </si>
  <si>
    <t>库存台账、库位、实物抽盘、冻结领用测试</t>
  </si>
  <si>
    <t>S01 仓储配送；S03 表5仓储配送；S05 §10.5；M01专业细化</t>
  </si>
  <si>
    <t>统一厂内位置、库存状态及事务规则</t>
  </si>
  <si>
    <t>E02</t>
  </si>
  <si>
    <t>制造收货与完工交接</t>
  </si>
  <si>
    <t>不评采购合同与销售发运业务</t>
  </si>
  <si>
    <t>经核查未建立进厂/完工物料的制造交接的基本规则，执行或结果无法可靠追溯</t>
  </si>
  <si>
    <t>对进厂/完工物料的制造交接已有个别做法，主要依靠个人和零散记录，缺乏一致规则</t>
  </si>
  <si>
    <t>有收货、检验交接和完工入库记录</t>
  </si>
  <si>
    <t>收货或完工交接关联来源、数量、批次和质量状态，差异及回冲有审核</t>
  </si>
  <si>
    <t>对重复收货、未检流入和完工差异进行核查改善</t>
  </si>
  <si>
    <t>交接机制稳定复用于不同物料，缩短等待且保持账物一致</t>
  </si>
  <si>
    <t>收货与入库单、检验状态、差异及回冲</t>
  </si>
  <si>
    <t>明确制造边界收货、检验和完工交接接口</t>
  </si>
  <si>
    <t>E03</t>
  </si>
  <si>
    <t>备料、配送与线边补给</t>
  </si>
  <si>
    <t>AGV、立库及电子看板均为可选技术</t>
  </si>
  <si>
    <t>经核查未建立物料从厂内仓到使用点的配送的基本规则，执行或结果无法可靠追溯</t>
  </si>
  <si>
    <t>对物料从厂内仓到使用点的配送已有个别做法，主要依靠个人和零散记录，缺乏一致规则</t>
  </si>
  <si>
    <t>有备料单、配送位置与交接记录</t>
  </si>
  <si>
    <t>按任务/节拍配送正确批次数量到工位，签收、缺料和退回可追踪</t>
  </si>
  <si>
    <t>按缺料、等待、搬运和线边库存改进补给规则</t>
  </si>
  <si>
    <t>补给策略随产品节奏调整，持续验证不断料与低库存的平衡</t>
  </si>
  <si>
    <t>配送任务、签收、线边库存、缺料及补给周期</t>
  </si>
  <si>
    <t>建立厂内备料、配送、签收与补给闭环</t>
  </si>
  <si>
    <t>E04</t>
  </si>
  <si>
    <t>领退补料与实耗</t>
  </si>
  <si>
    <t>包含倒冲时点、差异和负库存控制</t>
  </si>
  <si>
    <t>经核查未建立工单物料领用、退补与消耗的基本规则，执行或结果无法可靠追溯</t>
  </si>
  <si>
    <t>对工单物料领用、退补与消耗已有个别做法，主要依靠个人和零散记录，缺乏一致规则</t>
  </si>
  <si>
    <t>有领料、退补料和用量记录</t>
  </si>
  <si>
    <t>领退补与工单/批次关联，替代、损耗、余料和实耗可平衡</t>
  </si>
  <si>
    <t>核对理论与实际用量及系统间差异，定位损耗和错耗</t>
  </si>
  <si>
    <t>持续优化耗用与退料规则，材料损失和账实差异有改善</t>
  </si>
  <si>
    <t>领退补单、实耗、余料、报废及工单平衡</t>
  </si>
  <si>
    <t>把物料事务与工序实耗关联并建立对账</t>
  </si>
  <si>
    <t>E05</t>
  </si>
  <si>
    <t>批次、效期与存储条件</t>
  </si>
  <si>
    <t>无效期/特殊条件时仍核查批次与发料规则</t>
  </si>
  <si>
    <t>经核查未建立制造物料批次和使用时限的基本规则，执行或结果无法可靠追溯</t>
  </si>
  <si>
    <t>对制造物料批次和使用时限已有个别做法，主要依靠个人和零散记录，缺乏一致规则</t>
  </si>
  <si>
    <t>有批次、有效期或存储条件记录</t>
  </si>
  <si>
    <t>按适用规则执行先进先出/先到期先出、复验及环境条件，超期受控</t>
  </si>
  <si>
    <t>分析过期、呆滞和环境超限，核查使用影响并改善</t>
  </si>
  <si>
    <t>条件与期限规则按实际验证持续优化，减少报废及质量风险</t>
  </si>
  <si>
    <t>批次效期、环境记录、超期拦截、复验和报废</t>
  </si>
  <si>
    <t>建立物料期限、环境和发料顺序控制</t>
  </si>
  <si>
    <t>E06</t>
  </si>
  <si>
    <t>包装、容器与计数换算</t>
  </si>
  <si>
    <t>不评MOQ、采购价格、商务凑单</t>
  </si>
  <si>
    <t>经核查未建立现场包装层级、容器及拆包计数的基本规则，执行或结果无法可靠追溯</t>
  </si>
  <si>
    <t>对现场包装层级、容器及拆包计数已有个别做法，主要依靠个人和零散记录，缺乏一致规则</t>
  </si>
  <si>
    <t>有箱包/容器与物料数量对应表</t>
  </si>
  <si>
    <t>拆包、合箱、尾料、称重换算和周转容器按适用规则保留数量及批次</t>
  </si>
  <si>
    <t>核对包装层级与实物数量差异，改善混批及换算尾差</t>
  </si>
  <si>
    <t>可复用包装计量模型支持变化，差错和清点负担持续下降</t>
  </si>
  <si>
    <t>包装关系、容器ID、尾料、称重与换算案例</t>
  </si>
  <si>
    <t>将制造收发使用的包装、数量与批次关系受控化</t>
  </si>
  <si>
    <t>E07</t>
  </si>
  <si>
    <t>厂内搬运任务与交接</t>
  </si>
  <si>
    <t>人工搬运可实现；不评厂外运输</t>
  </si>
  <si>
    <t>经核查未建立工厂内部运输和物料转移的基本规则，执行或结果无法可靠追溯</t>
  </si>
  <si>
    <t>对工厂内部运输和物料转移已有个别做法，主要依靠个人和零散记录，缺乏一致规则</t>
  </si>
  <si>
    <t>有转移任务、起止位置和记录</t>
  </si>
  <si>
    <t>搬运任务与制造需求匹配，状态、签收、异常和人工接管受控</t>
  </si>
  <si>
    <t>用等待、拥堵和空跑数据改进路径与任务分配</t>
  </si>
  <si>
    <t>搬运策略随现场负荷调整，持续验证配送效率和安全</t>
  </si>
  <si>
    <t>搬运任务、交接、异常、等待与安全记录</t>
  </si>
  <si>
    <t>建立内部转移任务及执行反馈</t>
  </si>
  <si>
    <t>E08</t>
  </si>
  <si>
    <t>库存盘点与差异闭环</t>
  </si>
  <si>
    <t>与E01状态管理分别评价，避免用同一事实重复加分</t>
  </si>
  <si>
    <t>经核查未建立制造库存盘点和差异纠正的基本规则，执行或结果无法可靠追溯</t>
  </si>
  <si>
    <t>对制造库存盘点和差异纠正已有个别做法，主要依靠个人和零散记录，缺乏一致规则</t>
  </si>
  <si>
    <t>有定期盘点和差异清单</t>
  </si>
  <si>
    <t>覆盖仓库、线边、在制及冻结品，差异经审批更正并记录原因</t>
  </si>
  <si>
    <t>追溯造成差异的事务和流程，防止同类问题重复</t>
  </si>
  <si>
    <t>风险分层盘点及事务规则持续优化，准确性和盘点成本有验证</t>
  </si>
  <si>
    <t>盘点范围、差异审批、事务反查及复盘</t>
  </si>
  <si>
    <t>建立制造库存循环盘点、原因与整改闭环</t>
  </si>
  <si>
    <t>F01</t>
  </si>
  <si>
    <t>质量控制计划与检验要求</t>
  </si>
  <si>
    <t>来料仅评进入制造的质量控制，不评供应商商务管理</t>
  </si>
  <si>
    <t>经核查未建立制造检验特性、频次和判定的基本规则，执行或结果无法可靠追溯</t>
  </si>
  <si>
    <t>对制造检验特性、频次和判定已有个别做法，主要依靠个人和零散记录，缺乏一致规则</t>
  </si>
  <si>
    <t>有来料/过程/完工适用检验要求</t>
  </si>
  <si>
    <t>检验计划关联产品、工序、版本、抽样及放行要求，现场使用正确版本</t>
  </si>
  <si>
    <t>根据缺陷和变更反馈调整检验并验证覆盖有效性</t>
  </si>
  <si>
    <t>控制计划持续复用和优化，维持质量风险与检验效率平衡</t>
  </si>
  <si>
    <t>控制计划、检验规范、版本和使用记录</t>
  </si>
  <si>
    <t>S01 质量管控；S03 表5生产执行；S05 §10.4；M01专业细化</t>
  </si>
  <si>
    <t>建立与工艺版本一致的制造检验计划</t>
  </si>
  <si>
    <t>F02</t>
  </si>
  <si>
    <t>首件、巡检与完工检验执行</t>
  </si>
  <si>
    <t>按实际制造风险选择检验环节</t>
  </si>
  <si>
    <t>经核查未建立制造检验任务及漏检防控的基本规则，执行或结果无法可靠追溯</t>
  </si>
  <si>
    <t>对制造检验任务及漏检防控已有个别做法，主要依靠个人和零散记录，缺乏一致规则</t>
  </si>
  <si>
    <t>有检验记录和检验责任人</t>
  </si>
  <si>
    <t>首件、巡检、完工等适用检验按规则触发，未检/不合格状态不能非授权流转</t>
  </si>
  <si>
    <t>识别漏检、延检和重复检验，优化触发及作业安排</t>
  </si>
  <si>
    <t>检验执行规则可复用，持续验证漏检防控与响应效率</t>
  </si>
  <si>
    <t>任务、实测、时间戳、漏检拦截和授权</t>
  </si>
  <si>
    <t>把适用检验触发、任务和制造放行贯通</t>
  </si>
  <si>
    <t>F03</t>
  </si>
  <si>
    <t>原始检验数据与测试程序</t>
  </si>
  <si>
    <t>没有自动测试时核查人工测量的完整性</t>
  </si>
  <si>
    <t>经核查未建立原始测量、判定和测试版本的基本规则，执行或结果无法可靠追溯</t>
  </si>
  <si>
    <t>对原始测量、判定和测试版本已有个别做法，主要依靠个人和零散记录，缺乏一致规则</t>
  </si>
  <si>
    <t>有测量值、判定及测试记录</t>
  </si>
  <si>
    <t>保存原始值、单位、限值、设备及程序版本，复测不覆盖原数据</t>
  </si>
  <si>
    <t>校核数据完整性与判定一致性，分析程序/限值错误并闭环</t>
  </si>
  <si>
    <t>测试与判定规则持续验证和复用，减少误判及不可追溯数据</t>
  </si>
  <si>
    <t>原始曲线/数值、限值版本、测试程序及复测</t>
  </si>
  <si>
    <t>保留原始测试数据与正确判定上下文</t>
  </si>
  <si>
    <t>F04</t>
  </si>
  <si>
    <t>测量设备校准与测量能力</t>
  </si>
  <si>
    <t>与设备维护、工装寿命区别；MSA按测量需求选择</t>
  </si>
  <si>
    <t>经核查未建立制造用量检具的有效性的基本规则，执行或结果无法可靠追溯</t>
  </si>
  <si>
    <t>对制造用量检具的有效性已有个别做法，主要依靠个人和零散记录，缺乏一致规则</t>
  </si>
  <si>
    <t>有量检具档案和校准/检定记录</t>
  </si>
  <si>
    <t>使用前校验有效状态，超期/失准有停用及受影响产品追溯，按需验证测量能力</t>
  </si>
  <si>
    <t>分析漂移、重复性和失准影响并优化校准策略</t>
  </si>
  <si>
    <t>测量体系持续改善，证据证明测量风险和重复测量损失下降</t>
  </si>
  <si>
    <t>校准、状态核验、失准影响、适用MSA记录</t>
  </si>
  <si>
    <t>贯通量检具有效期、使用和失准影响处置</t>
  </si>
  <si>
    <t>F05</t>
  </si>
  <si>
    <t>过程统计与异常预警</t>
  </si>
  <si>
    <t>不适合SPC的单件非重复过程可采用受控趋势/限值等效方法</t>
  </si>
  <si>
    <t>经核查未建立制造过程波动和统计判异的基本规则，执行或结果无法可靠追溯</t>
  </si>
  <si>
    <t>对制造过程波动和统计判异已有个别做法，主要依靠个人和零散记录，缺乏一致规则</t>
  </si>
  <si>
    <t>记录关键过程/质量参数并有基本统计</t>
  </si>
  <si>
    <t>按过程适用性选取统计方法，规则、分组及响应责任明确并实际执行</t>
  </si>
  <si>
    <t>验证预警有效性、误报和根因，采取措施稳定过程</t>
  </si>
  <si>
    <t>持续校正统计/预测模型及响应，长期稳定性与损失改善可验证</t>
  </si>
  <si>
    <t>参数趋势、控制图、分组依据、响应与验证</t>
  </si>
  <si>
    <t>选择适用过程建立统计监控和异常响应</t>
  </si>
  <si>
    <t>F06</t>
  </si>
  <si>
    <t>不合格隔离与处置</t>
  </si>
  <si>
    <t>返工制造执行在D08，本项评审与授权</t>
  </si>
  <si>
    <t>经核查未建立不合格识别、冻结、评审和放行的基本规则，执行或结果无法可靠追溯</t>
  </si>
  <si>
    <t>对不合格识别、冻结、评审和放行已有个别做法，主要依靠个人和零散记录，缺乏一致规则</t>
  </si>
  <si>
    <t>有不合格单、隔离标识和处置记录</t>
  </si>
  <si>
    <t>实物与系统同步隔离，返工、让步、报废等有权限及去向记录，未批不得放行</t>
  </si>
  <si>
    <t>核查误放行、处理周期与重复问题，改进处置规则</t>
  </si>
  <si>
    <t>处置知识与防错规则复用，稳定减少流出和重复损失</t>
  </si>
  <si>
    <t>不合格单、冻结、处置审批、报废/让步和流转</t>
  </si>
  <si>
    <t>建立质量状态与实物流转一致的处置闭环</t>
  </si>
  <si>
    <t>F07</t>
  </si>
  <si>
    <t>制造履历与正向追溯</t>
  </si>
  <si>
    <t>风险决定粒度，不要求全部物料单件序列化</t>
  </si>
  <si>
    <t>经核查未建立产品制造过程的完整履历的基本规则，执行或结果无法可靠追溯</t>
  </si>
  <si>
    <t>对产品制造过程的完整履历已有个别做法，主要依靠个人和零散记录，缺乏一致规则</t>
  </si>
  <si>
    <t>能按产品/批次查询部分制造记录</t>
  </si>
  <si>
    <t>按定义粒度关联人机料法、时间位置、实装、参数、检验和变更，关键链无断点</t>
  </si>
  <si>
    <t>抽样核验履历与原始数据、实物一致，分析缺失并闭环</t>
  </si>
  <si>
    <t>复杂制造场景仍可稳定复用完整档案，查询效率和完整性持续改善</t>
  </si>
  <si>
    <t>档案、实装批次、参数、人员、检验与变更</t>
  </si>
  <si>
    <t>定义制造档案最小集及跨环节关联键</t>
  </si>
  <si>
    <t>F08</t>
  </si>
  <si>
    <t>反向追溯与影响范围</t>
  </si>
  <si>
    <t>不评售后服务系统，只评制造履历反查</t>
  </si>
  <si>
    <t>经核查未建立异常来源到受影响产品的反查的基本规则，执行或结果无法可靠追溯</t>
  </si>
  <si>
    <t>对异常来源到受影响产品的反查已有个别做法，主要依靠个人和零散记录，缺乏一致规则</t>
  </si>
  <si>
    <t>能人工整理受影响产品清单</t>
  </si>
  <si>
    <t>从物料批次、设备、参数、版本等反查受影响产品，支持冻结和范围确认</t>
  </si>
  <si>
    <t>用演练验证反查完整性、误圈定和耗时，优化索引和规则</t>
  </si>
  <si>
    <t>持续复用演练知识，复杂批次链也能可靠确定影响范围</t>
  </si>
  <si>
    <t>反查演练、影响清单、冻结和数量核对</t>
  </si>
  <si>
    <t>建立双向追溯与受影响产品定位测试</t>
  </si>
  <si>
    <t>F09</t>
  </si>
  <si>
    <t>缺陷原因与纠正预防</t>
  </si>
  <si>
    <t>客户反馈仅作制造问题输入，不评CRM和外部服务</t>
  </si>
  <si>
    <t>经核查未建立制造质量问题的根因与措施的基本规则，执行或结果无法可靠追溯</t>
  </si>
  <si>
    <t>对制造质量问题的根因与措施已有个别做法，主要依靠个人和零散记录，缺乏一致规则</t>
  </si>
  <si>
    <t>有缺陷分类、原因和整改清单</t>
  </si>
  <si>
    <t>问题有责任人、原因验证、措施与效果确认，必要时更新工艺和控制计划</t>
  </si>
  <si>
    <t>结合过程、设备、物料数据验证根因，分析措施复发率</t>
  </si>
  <si>
    <t>问题知识和有效措施跨同类场景复用，持续降低重复缺陷</t>
  </si>
  <si>
    <t>问题单、根因证据、措施验证、标准更新</t>
  </si>
  <si>
    <t>建立制造问题分析、效果确认和标准固化闭环</t>
  </si>
  <si>
    <t>F10</t>
  </si>
  <si>
    <t>制造质量绩效与放行档案</t>
  </si>
  <si>
    <t>不评对外质量认证资格本身</t>
  </si>
  <si>
    <t>经核查未建立质量统计口径与制造放行证据的基本规则，执行或结果无法可靠追溯</t>
  </si>
  <si>
    <t>对质量统计口径与制造放行证据已有个别做法，主要依靠个人和零散记录，缺乏一致规则</t>
  </si>
  <si>
    <t>有合格率、报废等报表和放行记录</t>
  </si>
  <si>
    <t>首次通过、返工、报废口径一致，批次/产品放行资料可核查且可追到原始记录</t>
  </si>
  <si>
    <t>分析质量损失和分层差异，验证改善而不被重复测试掩盖</t>
  </si>
  <si>
    <t>质量绩效持续引导改进，放行档案与指标可复用且稳定可信</t>
  </si>
  <si>
    <t>首次通过率口径、复测、报废、放行档案</t>
  </si>
  <si>
    <t>统一制造质量口径和产品放行资料要求</t>
  </si>
  <si>
    <t>G01</t>
  </si>
  <si>
    <t>设备资产与技术档案</t>
  </si>
  <si>
    <t>覆盖制造和关键辅助设备</t>
  </si>
  <si>
    <t>经核查未建立制造设备身份、能力和资料的基本规则，执行或结果无法可靠追溯</t>
  </si>
  <si>
    <t>对制造设备身份、能力和资料已有个别做法，主要依靠个人和零散记录，缺乏一致规则</t>
  </si>
  <si>
    <t>有设备编码、位置和技术资料</t>
  </si>
  <si>
    <t>台账关联能力、程序/配置、责任、关键程度及维护要求，变更受控</t>
  </si>
  <si>
    <t>定期核对实物与档案，分析失配对运行和维护的影响</t>
  </si>
  <si>
    <t>档案模板持续复用，支持设备变化且降低维护信息缺失</t>
  </si>
  <si>
    <t>设备台账、配置、位置、关键性、现场核对</t>
  </si>
  <si>
    <t>S01 设备管理；S03 表5设备管理；S05 §10.6；M01专业细化</t>
  </si>
  <si>
    <t>建立设备唯一身份与受控技术档案</t>
  </si>
  <si>
    <t>G02</t>
  </si>
  <si>
    <t>设备状态与停机原因</t>
  </si>
  <si>
    <t>状态可人工受控记录，不唯联网率评分</t>
  </si>
  <si>
    <t>经核查未建立运行、停机及原因记录的基本规则，执行或结果无法可靠追溯</t>
  </si>
  <si>
    <t>对运行、停机及原因记录已有个别做法，主要依靠个人和零散记录，缺乏一致规则</t>
  </si>
  <si>
    <t>有运行时间、故障与停机记录</t>
  </si>
  <si>
    <t>状态、起止时刻及停机原因分类一致，关键状态及时反馈制造</t>
  </si>
  <si>
    <t>核对自动/人工状态与现场，分析主要停机损失并整改</t>
  </si>
  <si>
    <t>状态分类与预警持续优化，停机损失改善可核实</t>
  </si>
  <si>
    <t>状态时间线、停机原因、故障与现场抽查</t>
  </si>
  <si>
    <t>统一设备状态和停机原因及时间口径</t>
  </si>
  <si>
    <t>G03</t>
  </si>
  <si>
    <t>预防维护与点检闭环</t>
  </si>
  <si>
    <t>所有有制造设备的范围</t>
  </si>
  <si>
    <t>经核查未建立设备点检、保养及维护执行的基本规则，执行或结果无法可靠追溯</t>
  </si>
  <si>
    <t>对设备点检、保养及维护执行已有个别做法，主要依靠个人和零散记录，缺乏一致规则</t>
  </si>
  <si>
    <t>有点检保养计划和结果</t>
  </si>
  <si>
    <t>按周期/次数/运行量生成适用任务，逾期升级，维护与生产计划协调</t>
  </si>
  <si>
    <t>依据故障和执行效果优化维护内容及周期</t>
  </si>
  <si>
    <t>维护策略持续验证并复用，故障和过度维护损失下降</t>
  </si>
  <si>
    <t>维护计划、工单、点检、逾期与排产协调</t>
  </si>
  <si>
    <t>建立预防维护、逾期及效果复盘流程</t>
  </si>
  <si>
    <t>G04</t>
  </si>
  <si>
    <t>故障报修与恢复确认</t>
  </si>
  <si>
    <t>故障为零时核查规则与演练，不直接给高分</t>
  </si>
  <si>
    <t>经核查未建立设备故障处理和恢复的基本规则，执行或结果无法可靠追溯</t>
  </si>
  <si>
    <t>对设备故障处理和恢复已有个别做法，主要依靠个人和零散记录，缺乏一致规则</t>
  </si>
  <si>
    <t>有报修、维修及恢复记录</t>
  </si>
  <si>
    <t>故障分级派单、维修、备件和验收完整，复工条件与制造同步</t>
  </si>
  <si>
    <t>分析MTTR、重复故障和根因，验证改善</t>
  </si>
  <si>
    <t>维修知识及响应策略持续复用，稳定减少恢复时间和重复故障</t>
  </si>
  <si>
    <t>报修工单、维修步骤、恢复验收及复发记录</t>
  </si>
  <si>
    <t>贯通报修、修复、验收与恢复生产</t>
  </si>
  <si>
    <t>G05</t>
  </si>
  <si>
    <t>工装、刀具与模具寿命</t>
  </si>
  <si>
    <t>无工装刀模具可排除；计量校准在F04</t>
  </si>
  <si>
    <t>经核查未建立制造工装适用性、使用和寿命的基本规则，执行或结果无法可靠追溯</t>
  </si>
  <si>
    <t>对制造工装适用性、使用和寿命已有个别做法，主要依靠个人和零散记录，缺乏一致规则</t>
  </si>
  <si>
    <t>有工装/刀具/模具台账和领用记录</t>
  </si>
  <si>
    <t>与工序产品匹配，寿命/使用次数、维护、换装和禁用状态受控</t>
  </si>
  <si>
    <t>分析寿命偏差、失效与质量关联，优化更换策略</t>
  </si>
  <si>
    <t>经验证的寿命与选用规则复用，减少失效及过早报废</t>
  </si>
  <si>
    <t>工装标识、使用计数、寿命、换装和维修</t>
  </si>
  <si>
    <t>建立工装匹配、使用履历及寿命控制</t>
  </si>
  <si>
    <t>G06</t>
  </si>
  <si>
    <t>维护备件与维修资源</t>
  </si>
  <si>
    <t>限维护保障，不评全企业采购供应链</t>
  </si>
  <si>
    <t>经核查未建立关键维护物资和资源保障的基本规则，执行或结果无法可靠追溯</t>
  </si>
  <si>
    <t>对关键维护物资和资源保障已有个别做法，主要依靠个人和零散记录，缺乏一致规则</t>
  </si>
  <si>
    <t>有关键备件、人员和工具清单</t>
  </si>
  <si>
    <t>关键备件库存、替代及补充规则满足维修需求，领用关联维修工单</t>
  </si>
  <si>
    <t>按故障、缺件等待和呆滞分析调整储备</t>
  </si>
  <si>
    <t>资源保障策略持续优化，验证停机和库存成本综合改善</t>
  </si>
  <si>
    <t>关键备件、维修领用、缺件等待、库存策略</t>
  </si>
  <si>
    <t>定义关键维护资源与维修任务关联</t>
  </si>
  <si>
    <t>G07</t>
  </si>
  <si>
    <t>状态诊断与适用预测维护</t>
  </si>
  <si>
    <t>无适用劣化对象可排除；不强制AI算法</t>
  </si>
  <si>
    <t>经核查未建立关键设备劣化识别和干预的基本规则，执行或结果无法可靠追溯</t>
  </si>
  <si>
    <t>对关键设备劣化识别和干预已有个别做法，主要依靠个人和零散记录，缺乏一致规则</t>
  </si>
  <si>
    <t>已识别关键状态参数并做趋势记录</t>
  </si>
  <si>
    <t>参数/事件阈值有依据，预警触发检查或维修且结果留痕</t>
  </si>
  <si>
    <t>验证诊断/预测准确性及误报，确能支持提前干预</t>
  </si>
  <si>
    <t>持续校正模型/规则并复用，收益与安全边界经验证</t>
  </si>
  <si>
    <t>参数趋势、预警、验证、干预及故障对照</t>
  </si>
  <si>
    <t>从高损失设备选择状态监测和预测场景</t>
  </si>
  <si>
    <t>G08</t>
  </si>
  <si>
    <t>设备效率与维护效果</t>
  </si>
  <si>
    <t>非节拍设备可用有效加工/可用率等口径</t>
  </si>
  <si>
    <t>经核查未建立设备效率与维护贡献的基本规则，执行或结果无法可靠追溯</t>
  </si>
  <si>
    <t>对设备效率与维护贡献已有个别做法，主要依靠个人和零散记录，缺乏一致规则</t>
  </si>
  <si>
    <t>有利用率、故障时间等统计</t>
  </si>
  <si>
    <t>按适用设备定义OEE或等效指标，区分开动、性能、质量和计划停机</t>
  </si>
  <si>
    <t>以损失分解和维护效果确定改善，防止只追高开机率</t>
  </si>
  <si>
    <t>持续验证效率、质量、维护成本和产出综合改善</t>
  </si>
  <si>
    <t>指标定义、原始时间、产量、损失及改善记录</t>
  </si>
  <si>
    <t>建立适用的设备损失与维护效果评价</t>
  </si>
  <si>
    <t>H01</t>
  </si>
  <si>
    <t>设备数字化与网络底数</t>
  </si>
  <si>
    <t>不将70%/90%直接设为通用评分门槛</t>
  </si>
  <si>
    <t>经核查未建立制造设备数字化、联网和可采集清单的基本规则，执行或结果无法可靠追溯</t>
  </si>
  <si>
    <t>对制造设备数字化、联网和可采集清单已有个别做法，主要依靠个人和零散记录，缺乏一致规则</t>
  </si>
  <si>
    <t>设备及接口、数字化/联网状态有清单</t>
  </si>
  <si>
    <t>分开计算数字化率、联网率和有效采集率，分母、关键设备及时间一致</t>
  </si>
  <si>
    <t>分析未覆盖对象对业务的影响，按收益和风险补齐</t>
  </si>
  <si>
    <t>随设备变化维护可信底数，覆盖改进贡献可核实</t>
  </si>
  <si>
    <t>设备清单、接口、三类比例分子分母和实查</t>
  </si>
  <si>
    <t>S01 数字化基础；S03 表3；S05 §6、§7、§9；M01专业细化</t>
  </si>
  <si>
    <t>盘清设备和数据接口，区分覆盖与有效应用</t>
  </si>
  <si>
    <t>H02</t>
  </si>
  <si>
    <t>现场网络覆盖与可用性</t>
  </si>
  <si>
    <t>有线/无线均可，不要求5G</t>
  </si>
  <si>
    <t>经核查未建立工位、设备网络连接质量的基本规则，执行或结果无法可靠追溯</t>
  </si>
  <si>
    <t>对工位、设备网络连接质量已有个别做法，主要依靠个人和零散记录，缺乏一致规则</t>
  </si>
  <si>
    <t>有网络拓扑及主要区域覆盖</t>
  </si>
  <si>
    <t>关键工位/设备通信满足业务时延和稳定要求，故障有定位及恢复机制</t>
  </si>
  <si>
    <t>监测丢包、时延和停网影响，验证改进</t>
  </si>
  <si>
    <t>随产线变化复用网络配置，持续保障业务可用性</t>
  </si>
  <si>
    <t>拓扑、覆盖测试、故障与业务时延记录</t>
  </si>
  <si>
    <t>按业务需要完善现场网络及运行监测</t>
  </si>
  <si>
    <t>H03</t>
  </si>
  <si>
    <t>生产与设备数据自动采集</t>
  </si>
  <si>
    <t>自动采集覆盖率只是一项证据，不单独代表成熟度</t>
  </si>
  <si>
    <t>经核查未建立需要采集的现场数据的基本规则，执行或结果无法可靠追溯</t>
  </si>
  <si>
    <t>对需要采集的现场数据已有个别做法，主要依靠个人和零散记录，缺乏一致规则</t>
  </si>
  <si>
    <t>已明确采集点并对部分数据自动获取</t>
  </si>
  <si>
    <t>关键数据按定义采集频率、身份和含义进入业务，人工补录有标识</t>
  </si>
  <si>
    <t>对源头与业务数据核验完整及时准确性，处理丢失和重复</t>
  </si>
  <si>
    <t>采集配置可复用，持续降低人工负担并改善数据可信度</t>
  </si>
  <si>
    <t>点位表、原始数据、采集日志、补录和核对</t>
  </si>
  <si>
    <t>按关键业务价值分步实施现场采集</t>
  </si>
  <si>
    <t>H04</t>
  </si>
  <si>
    <t>采集质量、时钟与上下文</t>
  </si>
  <si>
    <t>所有有现场数字记录的范围</t>
  </si>
  <si>
    <t>经核查未建立现场数据时间、含义及关联的基本规则，执行或结果无法可靠追溯</t>
  </si>
  <si>
    <t>对现场数据时间、含义及关联已有个别做法，主要依靠个人和零散记录，缺乏一致规则</t>
  </si>
  <si>
    <t>有数据单位、时间和设备/工单标识</t>
  </si>
  <si>
    <t>时钟同步、单位换算、采样及上下文绑定受控，错误数据标识隔离</t>
  </si>
  <si>
    <t>自动监测质量偏差并追到源头处理，核查修复效果</t>
  </si>
  <si>
    <t>质量规则跨同类设备复用，持续减少错误关联和时间漂移</t>
  </si>
  <si>
    <t>时钟检查、数据字典、异常数据及工单关联</t>
  </si>
  <si>
    <t>建立现场数据校验、时钟和上下文规则</t>
  </si>
  <si>
    <t>H05</t>
  </si>
  <si>
    <t>边缘缓存与断网补传</t>
  </si>
  <si>
    <t>不适合离线生产时以安全停工和可靠恢复评价</t>
  </si>
  <si>
    <t>经核查未建立网络异常下采集和现场连续性的基本规则，执行或结果无法可靠追溯</t>
  </si>
  <si>
    <t>对网络异常下采集和现场连续性已有个别做法，主要依靠个人和零散记录，缺乏一致规则</t>
  </si>
  <si>
    <t>有异常记录及人工应急办法</t>
  </si>
  <si>
    <t>按场景支持缓存/安全降级，补传保持顺序、身份与幂等，状态可核对</t>
  </si>
  <si>
    <t>演练掉线、重启、满缓存，验证无关键数据丢失及重复执行</t>
  </si>
  <si>
    <t>机制可复用并持续验证，异常下业务损失和恢复时间下降</t>
  </si>
  <si>
    <t>掉线演练、缓存、补传日志与对账</t>
  </si>
  <si>
    <t>设计可验证的断网降级、补传和恢复机制</t>
  </si>
  <si>
    <t>H06</t>
  </si>
  <si>
    <t>参数下发与执行反馈</t>
  </si>
  <si>
    <t>无可下发对象时可排除；不替代本机安全控制</t>
  </si>
  <si>
    <t>经核查未建立受控参数/程序在设备端执行的基本规则，执行或结果无法可靠追溯</t>
  </si>
  <si>
    <t>对受控参数/程序在设备端执行已有个别做法，主要依靠个人和零散记录，缺乏一致规则</t>
  </si>
  <si>
    <t>参数/程序有版本和人工核对</t>
  </si>
  <si>
    <t>下发有权限、版本及适用对象校验，设备确认与实际执行可核对</t>
  </si>
  <si>
    <t>监测失败、错版、偏离并闭环，验证切换正确性</t>
  </si>
  <si>
    <t>配置规则可复用且受控优化，减少切换和误设损失</t>
  </si>
  <si>
    <t>下发日志、回读、实际程序、错版及失败测试</t>
  </si>
  <si>
    <t>建立下发、确认、回读和异常回退</t>
  </si>
  <si>
    <t>H07</t>
  </si>
  <si>
    <t>工位与自动化单元协同</t>
  </si>
  <si>
    <t>人工工位也可形成受控协作，不强制机器人</t>
  </si>
  <si>
    <t>经核查未建立制造单元之间的任务和状态协作的基本规则，执行或结果无法可靠追溯</t>
  </si>
  <si>
    <t>对制造单元之间的任务和状态协作已有个别做法，主要依靠个人和零散记录，缺乏一致规则</t>
  </si>
  <si>
    <t>有单元操作顺序与基本状态记录</t>
  </si>
  <si>
    <t>上下料、加工/装配、测试和转移按任务身份、许可和安全条件协同</t>
  </si>
  <si>
    <t>分析等待、节拍失衡与互锁异常，优化单元协作</t>
  </si>
  <si>
    <t>标准接口与流程可复用，柔性切换的效果经持续验证</t>
  </si>
  <si>
    <t>单元任务、身份、许可、互锁与节拍数据</t>
  </si>
  <si>
    <t>按瓶颈和风险完善单元任务及状态交互</t>
  </si>
  <si>
    <t>H08</t>
  </si>
  <si>
    <t>自动化适配与柔性验证</t>
  </si>
  <si>
    <t>不因人工比例高自动扣分；无适用投资时评估论证和替代改善</t>
  </si>
  <si>
    <t>经核查未建立现场自动化投入的制造适配的基本规则，执行或结果无法可靠追溯</t>
  </si>
  <si>
    <t>对现场自动化投入的制造适配已有个别做法，主要依靠个人和零散记录，缺乏一致规则</t>
  </si>
  <si>
    <t>有自动化需求、工艺及收益分析</t>
  </si>
  <si>
    <t>适用方案经产品组合、换型、质量、安全和维护验证，人工接管明确</t>
  </si>
  <si>
    <t>以实际运行比较基线，核实节拍、质量、成本和停机影响</t>
  </si>
  <si>
    <t>方案可复用且持续适应制造变化，实际收益稳定</t>
  </si>
  <si>
    <t>适配评审、试运行、换型、接管、运行对照</t>
  </si>
  <si>
    <t>先验证制造适配和收益再扩展自动化</t>
  </si>
  <si>
    <t>I01</t>
  </si>
  <si>
    <t>制造应用架构与数据边界</t>
  </si>
  <si>
    <t>按能力评估，不要求购买每一种独立软件</t>
  </si>
  <si>
    <t>经核查未建立制造系统职责和数据权威来源的基本规则，执行或结果无法可靠追溯</t>
  </si>
  <si>
    <t>对制造系统职责和数据权威来源已有个别做法，主要依靠个人和零散记录，缺乏一致规则</t>
  </si>
  <si>
    <t>有系统清单、功能及数据分工</t>
  </si>
  <si>
    <t>ERP/MOM及WMS/QMS/EAM等适用系统边界、主记录与交互清楚，避免重复审批和多头维护</t>
  </si>
  <si>
    <t>按数据一致性和流程断点调整架构，验证改善</t>
  </si>
  <si>
    <t>架构可随业务变化持续演进，数据职责和复用仍清晰</t>
  </si>
  <si>
    <t>系统图、功能边界、主记录与重复维护实例</t>
  </si>
  <si>
    <t>S01 数字化基础与管理；S03 表2；S05 §9、§10.1；M01专业细化</t>
  </si>
  <si>
    <t>明确能力归属、权威数据与接口职责</t>
  </si>
  <si>
    <t>I02</t>
  </si>
  <si>
    <t>业务接口与事务一致性</t>
  </si>
  <si>
    <t>含与研发、ERP及仓储系统的制造接口</t>
  </si>
  <si>
    <t>经核查未建立制造系统间的业务交换的基本规则，执行或结果无法可靠追溯</t>
  </si>
  <si>
    <t>对制造系统间的业务交换已有个别做法，主要依靠个人和零散记录，缺乏一致规则</t>
  </si>
  <si>
    <t>有接口清单、字段和基本错误记录</t>
  </si>
  <si>
    <t>接口具备身份/状态映射、幂等、重试、对账及异常责任，失败不静默丢失</t>
  </si>
  <si>
    <t>以端到端业务核对一致性和时效，优化重复失败和补偿</t>
  </si>
  <si>
    <t>接口规范复用并持续验证，变更后仍保持事务一致</t>
  </si>
  <si>
    <t>接口契约、失败重放、对账、重复消息测试</t>
  </si>
  <si>
    <t>按业务事务建立接口契约与异常恢复</t>
  </si>
  <si>
    <t>I03</t>
  </si>
  <si>
    <t>身份权限与关键操作审计</t>
  </si>
  <si>
    <t>记录更正需保留原始信息，不以禁止一切更正代替受控</t>
  </si>
  <si>
    <t>经核查未建立制造用户权限及关键记录修改的基本规则，执行或结果无法可靠追溯</t>
  </si>
  <si>
    <t>对制造用户权限及关键记录修改已有个别做法，主要依靠个人和零散记录，缺乏一致规则</t>
  </si>
  <si>
    <t>有账号、角色和权限清单</t>
  </si>
  <si>
    <t>最小权限、离岗回收、关键操作授权及不可随意改写的日志实际执行</t>
  </si>
  <si>
    <t>定期核查越权、共享账号和日志缺失，整改并验证</t>
  </si>
  <si>
    <t>权限规则随岗位变动复用，审计与风险处置持续改善</t>
  </si>
  <si>
    <t>账号权限、授权、回收、修改前后值与审计</t>
  </si>
  <si>
    <t>建立个人身份、角色权限和关键数据审计</t>
  </si>
  <si>
    <t>I04</t>
  </si>
  <si>
    <t>IT/OT网络隔离与资产防护</t>
  </si>
  <si>
    <t>只评制造相关安全，不代替专项安全认证</t>
  </si>
  <si>
    <t>经核查未建立制造网络边界与数字资产防护的基本规则，执行或结果无法可靠追溯</t>
  </si>
  <si>
    <t>对制造网络边界与数字资产防护已有个别做法，主要依靠个人和零散记录，缺乏一致规则</t>
  </si>
  <si>
    <t>有资产、网络边界和基本防护规则</t>
  </si>
  <si>
    <t>按风险分区、边界访问、恶意代码及补丁策略执行，生产连续性有考虑</t>
  </si>
  <si>
    <t>以检查、告警和演练验证防护并整改暴露点</t>
  </si>
  <si>
    <t>防护规则随资产和威胁变化更新，持续验证业务安全运行</t>
  </si>
  <si>
    <t>分区拓扑、访问规则、补丁评估、告警与演练</t>
  </si>
  <si>
    <t>识别制造网络边界并落实分层防护</t>
  </si>
  <si>
    <t>I05</t>
  </si>
  <si>
    <t>远程维护与供应商访问</t>
  </si>
  <si>
    <t>无远程接入时评禁止及技术封堵，可申请排除需明确证据</t>
  </si>
  <si>
    <t>经核查未建立外部人员远程接入制造环境的基本规则，执行或结果无法可靠追溯</t>
  </si>
  <si>
    <t>对外部人员远程接入制造环境已有个别做法，主要依靠个人和零散记录，缺乏一致规则</t>
  </si>
  <si>
    <t>有远程维护申请及账号记录</t>
  </si>
  <si>
    <t>接入经授权、限时、留痕和撤销，关键操作有人确认，工具受控</t>
  </si>
  <si>
    <t>核查异常连接和操作，演练中止与追查并改进</t>
  </si>
  <si>
    <t>远程访问规则持续复用，风险与维护效率均可核实</t>
  </si>
  <si>
    <t>申请、会话日志、限时撤销及异常访问测试</t>
  </si>
  <si>
    <t>建立受控远程维护通道与审计</t>
  </si>
  <si>
    <t>I06</t>
  </si>
  <si>
    <t>备份、恢复与业务连续性</t>
  </si>
  <si>
    <t>有备份但从未恢复验证不能达到3分</t>
  </si>
  <si>
    <t>经核查未建立制造数据及服务恢复的基本规则，执行或结果无法可靠追溯</t>
  </si>
  <si>
    <t>对制造数据及服务恢复已有个别做法，主要依靠个人和零散记录，缺乏一致规则</t>
  </si>
  <si>
    <t>有备份清单、频次和应急流程</t>
  </si>
  <si>
    <t>恢复目标、备份隔离/保留和人工应急明确，定期实际恢复并核对关键数据</t>
  </si>
  <si>
    <t>演练故障和切换，验证恢复时间与数据损失满足目标并改进</t>
  </si>
  <si>
    <t>恢复方案可复用且持续通过演练，稳定减少业务中断损失</t>
  </si>
  <si>
    <t>备份、恢复演练、数据核对、恢复目标与时间</t>
  </si>
  <si>
    <t>建立以真实恢复验证的制造连续性方案</t>
  </si>
  <si>
    <t>I07</t>
  </si>
  <si>
    <t>性能容量与变更发布</t>
  </si>
  <si>
    <t>包括新旧系统替换场景，但不预设企业正在替换</t>
  </si>
  <si>
    <t>经核查未建立制造系统负载、升级和切换的基本规则，执行或结果无法可靠追溯</t>
  </si>
  <si>
    <t>对制造系统负载、升级和切换已有个别做法，主要依靠个人和零散记录，缺乏一致规则</t>
  </si>
  <si>
    <t>有运行容量和发布记录</t>
  </si>
  <si>
    <t>按峰值并发、数据量和关键响应要求验证，发布有测试、回退和业务确认</t>
  </si>
  <si>
    <t>跟踪运行性能及发布损失，分析并改进容量和变更</t>
  </si>
  <si>
    <t>架构与发布机制可复用，增长及变更后仍稳定满足业务</t>
  </si>
  <si>
    <t>压测、响应日志、发布、回退演练和业务签认</t>
  </si>
  <si>
    <t>定义业务性能目标并建立受控发布回退</t>
  </si>
  <si>
    <t>I08</t>
  </si>
  <si>
    <t>数据可迁移与技术可维护</t>
  </si>
  <si>
    <t>不按是否开源评分，按可维护业务结果评价</t>
  </si>
  <si>
    <t>经核查未建立制造数据导出、接口及长期维护的基本规则，执行或结果无法可靠追溯</t>
  </si>
  <si>
    <t>对制造数据导出、接口及长期维护已有个别做法，主要依靠个人和零散记录，缺乏一致规则</t>
  </si>
  <si>
    <t>有数据结构、接口和维护资料</t>
  </si>
  <si>
    <t>关键数据可按授权完整导出并保留语义/关联，配置、程序和维护交接明确</t>
  </si>
  <si>
    <t>用迁移/交接演练验证可用性，整改供应商依赖和缺失资料</t>
  </si>
  <si>
    <t>数据及配置复用机制支持持续演进，迁移和维护成本可核实</t>
  </si>
  <si>
    <t>导出样本、字典、恢复关联、接口和交接演练</t>
  </si>
  <si>
    <t>明确数据归属、开放接口和维护交付要求</t>
  </si>
  <si>
    <t>J01</t>
  </si>
  <si>
    <t>制造指标定义与可信数据</t>
  </si>
  <si>
    <t>只评制造绩效，不评企业财务营销指标</t>
  </si>
  <si>
    <t>经核查未建立制造绩效口径、来源和责任的基本规则，执行或结果无法可靠追溯</t>
  </si>
  <si>
    <t>对制造绩效口径、来源和责任已有个别做法，主要依靠个人和零散记录，缺乏一致规则</t>
  </si>
  <si>
    <t>有交付、质量、效率等指标和基础报表</t>
  </si>
  <si>
    <t>指标含定义、公式、时间粒度、数据来源及责任，能回溯明细并核对</t>
  </si>
  <si>
    <t>定期检查口径、缺失和跨报表差异，修正并验证</t>
  </si>
  <si>
    <t>指标字典可复用，随业务变化保持趋势可比和数据可信</t>
  </si>
  <si>
    <t>指标字典、原始明细、对账及口径变更</t>
  </si>
  <si>
    <t>S01 数字化成效及能耗管理；S03 表5能源管理；S06 §2.5.4、§2.6、§3.1；M01专业细化</t>
  </si>
  <si>
    <t>统一制造指标口径、基线和责任人</t>
  </si>
  <si>
    <t>阶段C：优化与复制</t>
  </si>
  <si>
    <t>J02</t>
  </si>
  <si>
    <t>交付、在制与制造周期改善</t>
  </si>
  <si>
    <t>不评全供应链订单到收款周期</t>
  </si>
  <si>
    <t>经核查未建立制造交付和流动绩效的基本规则，执行或结果无法可靠追溯</t>
  </si>
  <si>
    <t>对制造交付和流动绩效已有个别做法，主要依靠个人和零散记录，缺乏一致规则</t>
  </si>
  <si>
    <t>有按期完成、在制及周期统计</t>
  </si>
  <si>
    <t>按统一口径分层分析工单交付、等待与周期，偏差有责任和措施</t>
  </si>
  <si>
    <t>用基线和实际对照验证瓶颈、排程或物流改进贡献</t>
  </si>
  <si>
    <t>持续调整改善组合，交付与低在制的综合效果稳定</t>
  </si>
  <si>
    <t>按期完成、WIP、周期分布、措施及前后对照</t>
  </si>
  <si>
    <t>围绕制造交付和流动建立定期改善机制</t>
  </si>
  <si>
    <t>J03</t>
  </si>
  <si>
    <t>质量损失与制造资源成本</t>
  </si>
  <si>
    <t>不评总账、税务、资金和企业全面成本系统</t>
  </si>
  <si>
    <t>经核查未建立制造损耗及资源消耗分析的基本规则，执行或结果无法可靠追溯</t>
  </si>
  <si>
    <t>对制造损耗及资源消耗分析已有个别做法，主要依靠个人和零散记录，缺乏一致规则</t>
  </si>
  <si>
    <t>有报废、返工、工时和用料消耗统计</t>
  </si>
  <si>
    <t>按产品/工序关联实际消耗与损失，差异能追到制造事件并采取措施</t>
  </si>
  <si>
    <t>验证损失下降和成本改善，区分产量/组合变化影响</t>
  </si>
  <si>
    <t>损失分析规则复用，持续优化质量、用料和工时综合表现</t>
  </si>
  <si>
    <t>损失明细、实耗、返工工时、标准对照</t>
  </si>
  <si>
    <t>建立制造损失和实际资源消耗分析</t>
  </si>
  <si>
    <t>J04</t>
  </si>
  <si>
    <t>能源介质与资源效率</t>
  </si>
  <si>
    <t>不评产品生态设计、企业ESG披露或外部碳交易</t>
  </si>
  <si>
    <t>经核查未建立制造能源、水和介质使用的基本规则，执行或结果无法可靠追溯</t>
  </si>
  <si>
    <t>对制造能源、水和介质使用已有个别做法，主要依靠个人和零散记录，缺乏一致规则</t>
  </si>
  <si>
    <t>有适用能源/水/介质计量及总量记录</t>
  </si>
  <si>
    <t>计量边界、时间和产品/工序关联清楚，异常消耗有处置责任</t>
  </si>
  <si>
    <t>按产量、组合、工况校正基线，验证单位资源消耗改善</t>
  </si>
  <si>
    <t>优化策略持续验证并复用，资源效率与质量产出稳定兼顾</t>
  </si>
  <si>
    <t>计量点、账单/表计、产量、工况和改善对照</t>
  </si>
  <si>
    <t>建立制造资源消耗边界、计量和单位产出基线</t>
  </si>
  <si>
    <t>J05</t>
  </si>
  <si>
    <t>现场可视化与管理响应</t>
  </si>
  <si>
    <t>大屏数量和视觉效果不作为得分条件</t>
  </si>
  <si>
    <t>经核查未建立制造看板到实际管理行动的基本规则，执行或结果无法可靠追溯</t>
  </si>
  <si>
    <t>对制造看板到实际管理行动已有个别做法，主要依靠个人和零散记录，缺乏一致规则</t>
  </si>
  <si>
    <t>有现场报表或看板</t>
  </si>
  <si>
    <t>关键状态、异常、目标和责任可见且数据及时，管理人员有响应记录</t>
  </si>
  <si>
    <t>验证看板触发行动的时效和问题解决效果，减少无效指标</t>
  </si>
  <si>
    <t>按岗位决策需求持续优化展示与响应，改善结果稳定</t>
  </si>
  <si>
    <t>现场看板、数据更新时间、例会与行动记录</t>
  </si>
  <si>
    <t>把现场可视化与异常行动责任关联</t>
  </si>
  <si>
    <t>J06</t>
  </si>
  <si>
    <t>数据分析与适用优化场景</t>
  </si>
  <si>
    <t>规则、统计、运筹和AI均可，不为使用AI本身加分</t>
  </si>
  <si>
    <t>经核查未建立制造分析模型或规则的业务应用的基本规则，执行或结果无法可靠追溯</t>
  </si>
  <si>
    <t>对制造分析模型或规则的业务应用已有个别做法，主要依靠个人和零散记录，缺乏一致规则</t>
  </si>
  <si>
    <t>有具体分析场景、数据和业务负责人</t>
  </si>
  <si>
    <t>规则/模型经业务验证并用于决策，适用范围、人工接管及回退明确</t>
  </si>
  <si>
    <t>跟踪准确性、漂移和实际收益，与基线比较并调整</t>
  </si>
  <si>
    <t>经验证的分析能力复用到同类场景，持续保持收益和受控边界</t>
  </si>
  <si>
    <t>场景目标、验证集、使用日志、对照及回退</t>
  </si>
  <si>
    <t>从可信数据选择高价值分析/优化场景</t>
  </si>
  <si>
    <t>J07</t>
  </si>
  <si>
    <t>持续改善与制造知识复用</t>
  </si>
  <si>
    <t>不评公司泛知识平台和非制造培训</t>
  </si>
  <si>
    <t>经核查未建立制造问题的标准化改善和知识的基本规则，执行或结果无法可靠追溯</t>
  </si>
  <si>
    <t>对制造问题的标准化改善和知识已有个别做法，主要依靠个人和零散记录，缺乏一致规则</t>
  </si>
  <si>
    <t>有改善提案、问题和经验记录</t>
  </si>
  <si>
    <t>按问题、基线、原因、措施、验证、固化闭环，知识能被现场检索使用</t>
  </si>
  <si>
    <t>评估复发、复用率与实际效果，优化知识内容和触发方式</t>
  </si>
  <si>
    <t>改善机制在同类产品/产线持续复用，效果经复盘保持</t>
  </si>
  <si>
    <t>PDCA、标准更新、知识使用及复发验证</t>
  </si>
  <si>
    <t>将有效改善固化为流程、参数、训练和知识</t>
  </si>
  <si>
    <t>J08</t>
  </si>
  <si>
    <t>建设成效保持与复制</t>
  </si>
  <si>
    <t>单工厂/单产线可用可比产品或工序复用，不强制多工厂</t>
  </si>
  <si>
    <t>经核查未建立制造数字化用例的效果和扩展的基本规则，执行或结果无法可靠追溯</t>
  </si>
  <si>
    <t>对制造数字化用例的效果和扩展已有个别做法，主要依靠个人和零散记录，缺乏一致规则</t>
  </si>
  <si>
    <t>有试点效果记录和推广计划</t>
  </si>
  <si>
    <t>试点与后续运行有同口径基线/结果，覆盖、收益、风险和维护责任明确</t>
  </si>
  <si>
    <t>推广前验证适配条件，推广后核实收益保持及成本</t>
  </si>
  <si>
    <t>形成可配置、可维护的能力包，在可比场景复用并持续改进</t>
  </si>
  <si>
    <t>试点基线、连续运行数据、适配与推广复盘</t>
  </si>
  <si>
    <t>按业务效果及适配条件推进分期复制</t>
  </si>
  <si>
    <t>调研资料诊断 · V2.2</t>
  </si>
  <si>
    <t>沿用用户修订评分，仅补充质量F01—F10。新增质量事实见E18/E19，J列记录事实、X列记录分档及留空原因。N/V未代填企业复核；空白不计0，不作不适用。</t>
  </si>
  <si>
    <t>原始权重</t>
  </si>
  <si>
    <t>适用性</t>
  </si>
  <si>
    <t>资料诊断/复核分</t>
  </si>
  <si>
    <t>阶段目标0—5</t>
  </si>
  <si>
    <t>业务影响</t>
  </si>
  <si>
    <t>事实与证据位置</t>
  </si>
  <si>
    <t>不适用理由/证据</t>
  </si>
  <si>
    <t>评估人/诊断方式</t>
  </si>
  <si>
    <t>资料/复核评估日期</t>
  </si>
  <si>
    <t>企业复核人</t>
  </si>
  <si>
    <t>本次状态</t>
  </si>
  <si>
    <t>计分状态</t>
  </si>
  <si>
    <t>已评分权重</t>
  </si>
  <si>
    <t>得分贡献</t>
  </si>
  <si>
    <t>目标差距</t>
  </si>
  <si>
    <t>建设优先建议</t>
  </si>
  <si>
    <t>样本量/覆盖/期间</t>
  </si>
  <si>
    <t>企业复核日期</t>
  </si>
  <si>
    <t>规划信息状态</t>
  </si>
  <si>
    <t>判分说明/未赋分原因</t>
  </si>
  <si>
    <t>适用</t>
  </si>
  <si>
    <t>高</t>
  </si>
  <si>
    <t>已有月度入库诉求及MES替换方向；战略与发展规划尚不清晰。
线索：E02 第一部分；E03 月度任务；E10 C02/C28</t>
  </si>
  <si>
    <t>既有资料核对</t>
  </si>
  <si>
    <t>现有片段不足以支持完整分档；没有新增现场抽样。</t>
  </si>
  <si>
    <t>制造目标、收益基线、任务责任和资源未形成可核实的完整输入，不据规划诉求评分。</t>
  </si>
  <si>
    <t>特殊业务的跨部门协作缺少主责，例如新旧料替换和套料调整；异常先由现场联系主管，分类后才进入OA/ERP。
依据：E02 第一部分；E01 02问题主表!L59（D05-Q08，已确认）</t>
  </si>
  <si>
    <t>既有资料对照评分</t>
  </si>
  <si>
    <t>仅限所引记录描述的场景；未新增业务样本/现场抽样，未验证全产品/班次覆盖。</t>
  </si>
  <si>
    <t>已有局部交接和后续处理做法，但特殊事项依靠人员经验，符合1分；不能将OA中已有流程概括为全厂无流程。</t>
  </si>
  <si>
    <t>用户汇总指出数据治理缺失、出货检验表版本控制不足；各部门沿用编码和文档规则，ECN审批后仍需人工改ERP BOM。
依据：E02 第一部分；E04 ECN执行；E07 编码与文控现状</t>
  </si>
  <si>
    <t>按分散维护、统一治理不足判1分；不否认已存在编码规则和文控，也不把访谈提出的新权限方案当作现有制度。</t>
  </si>
  <si>
    <t>低</t>
  </si>
  <si>
    <t>已有工序考核、上岗证及多岗资格；系统资质互锁属于访谈提出的建设方向。
线索：E01 主表!L20（已确认）；E06 00:01；E10 C04</t>
  </si>
  <si>
    <t>技能矩阵、培训/资格记录覆盖及实际授权未核实。保留已有管理基础，不按无证或无培训评分。</t>
  </si>
  <si>
    <t>旧MES已有扫码和结果记录；装配仍以经验和纸质流转卡为主，部分报工按批次补录。
依据：E01 主表!L39、L57（均已确认）；E02 第一部分；E07 工艺文件现状</t>
  </si>
  <si>
    <t>局部工位电子记录、SOP说明已存在，支持2分；现场依经验及补录表明尚不能按3分的受控数字流程评价。</t>
  </si>
  <si>
    <t>用户确认旧MES服务响应和运维信息分散问题。
线索：E02 第一部分；E05 MES现状；E10 C27</t>
  </si>
  <si>
    <t>问题记录、分级响应、服务责任及恢复过程尚未核实；体验问题不能直接确定整项运维档位。</t>
  </si>
  <si>
    <t>有新MES替换和新厂方向；访谈提及完成时间意向。
线索：E05 替换规划；E07 新厂现状；E10 C28</t>
  </si>
  <si>
    <t>预算、建设资源、发布与验收治理未确认，意向日期不作批准计划。</t>
  </si>
  <si>
    <t>不适用</t>
  </si>
  <si>
    <t>未取得制造安全/环境作业控制的专项调研和运行记录。
线索：E10 C24/C26；现有资料无直接确认</t>
  </si>
  <si>
    <t>风险点、许可、联锁、异常处置及运行范围未调查，留空。</t>
  </si>
  <si>
    <t>物料与文件已有历史编码规则；原料ERP批次未启用；线材、热缩管、胶水等采购/使用单位不同，存在小数库存与核对困难。
依据：E01 主表!L36、L83、L121（已确认）；E04 批次现状；E07 编码现状；E08 单位换算</t>
  </si>
  <si>
    <t>存在编码和单位管理做法，但跨对象规范及计量一致性不足，按1分；不推断企业没有物料编码。</t>
  </si>
  <si>
    <t>有三至四层BOM并用于生产；研发页记录“没有mbom”，计划访谈说明仅使用单版本BOM；制造位置/参数等仍需人员补充。
依据：E01 研发!C5、C15；主表!L37（已确认）；E03 24:05；E07 文件关联现状</t>
  </si>
  <si>
    <t>按制造用料视图及版本管理零散判1分；“没有MBOM”不等于没有任何BOM，也不要求必须另购独立MBOM软件。</t>
  </si>
  <si>
    <t>已有替代/取代及套料只允许一种替代的做法；主表记有位号/损耗应用，但NPI指出部分紧固件用途位置和扭力仍由口头或仓库标签解释。
依据：E01 研发!C7；主表!L49（已确认）；E07 01:21:39；E02 第一部分</t>
  </si>
  <si>
    <t>按规则不完整、依赖线下解释判1分；保留“部分已用位号”与“部分位置缺失”的区别，不认定全厂均无位号或均有损耗。</t>
  </si>
  <si>
    <t>主表已确认PLM/ERP未维护工艺路线、特殊路线没有形成受控定义；现场仍以工序和流转卡作业。
依据：E01 主表!L38、L48（已确认）；E04 工艺路线维护现状</t>
  </si>
  <si>
    <t>按制造路线维护粗放判1分；不把PLM/ERP未维护等同于企业没有任何工艺流程。并行等具体路径是否存在仍留待确认。</t>
  </si>
  <si>
    <t>SOP和治具资料有A0/A1等版本并由文控保存于本地；产测软件有工序分支和可用版本，现场对小幅调整仍依赖通知及经验。
依据：E01 主表!L39、L42（已确认）；E05 24:54；E07 01:09:49、01:16:01</t>
  </si>
  <si>
    <t>已有文件和软件版本管理，支持2分；工单/工位适用关联和实际使用核验尚未形成已证明的3分能力。</t>
  </si>
  <si>
    <t>ECN在协同平台审批后人工维护ERP BOM；以自然切换和旧料消耗为主，工程按影响改SOP并通知现场，新旧料消耗控制不严格。
依据：E04 ECN现状及06:37、10:36；E07 01:18:45；E02 第一部分</t>
  </si>
  <si>
    <t>已有通知、审批及变更记录，按2分；缺少统一的库存/在制及生效适用控制，不能评价为3分。主表L40的todo不作为已确认事实。</t>
  </si>
  <si>
    <t>中</t>
  </si>
  <si>
    <t>计划输入、产能计算主要靠经验；分型号产能、标准工时和节拍基准缺失或不准确。
依据：E01 主表!L53、L54（已确认）；E03 08:27；E02 第一部分</t>
  </si>
  <si>
    <t>经验能力估计已存在，按1分；不把口述日总量、月入库目标当作经测量的标准产能。</t>
  </si>
  <si>
    <t>上产线试制可仅通知开工；首产依靠NPI准备简版SOP及现场跟进，存在标准未定稿和生产中补充资料的问题。
依据：E01 主表!L41（已确认）；研发!C64:C66；E02 研发转生产无门禁；E07 NPI现状</t>
  </si>
  <si>
    <t>按依赖人员协调且交付门槛不足判1分；不把会议列出的“应交付资料包”当作已齐套、已验收的现状。</t>
  </si>
  <si>
    <t>正式订单、强意向和预测输入已描述，制造需求承接存在电子工具。
线索：E03 14:01及需求入口；E10 C05/C06</t>
  </si>
  <si>
    <t>制造任务的产品版本记录及全链需求变更口径未充分确认，不把销售需求描述等同于该能力全项证据。</t>
  </si>
  <si>
    <t>排产及产能判断主要依赖人员经验；型号资源消耗未形成可靠基准，近期排单出现超出实际能力的情况。
依据：E01 主表!L53、L54（已确认）；E03 08:27；E06 02:29</t>
  </si>
  <si>
    <t>按经验排程判1分；MPS/MRP处于测试不能作为已经运行的有限能力排程能力。</t>
  </si>
  <si>
    <t>备料时按小车和流转卡确认物料，开工前员工检查工位电脑及工具；齐套分析已有线下程序与ERP数据支持。
依据：E01 主表!L56（已确认）；E03 当前排产工具；E06 08:04</t>
  </si>
  <si>
    <t>已有备料和开工检查，支持2分；不能据此推断人机料法质量等条件已形成统一投产门禁。</t>
  </si>
  <si>
    <t>有小车批量和按出货日期排序的做法，型号组合依经验平衡。
线索：E01 计划!B5:D5；主表!L67；E03；E06</t>
  </si>
  <si>
    <t>工单批量、小车容量与套料包装有10/15及五套等不同对象；换型时间、批量约束和顺序规则未统一，暂不评分。</t>
  </si>
  <si>
    <t>工序任务由流转卡传递，人员分派至工位，同型号工单按出货日期排序，产线分配保留现场弹性。
依据：E01 主表!L56（已确认）；E06 02:29、08:04</t>
  </si>
  <si>
    <t>已有任务与岗位安排，按2分；任务撤回、版本同步及签收闭环未证明，ERP取消未同步MES是已确认缺口。</t>
  </si>
  <si>
    <t>旧MES及流转卡保留部分工序/在制记录，但扫码报工有补录，部分已入库任务仍显示在生产，计划要求获得实时进度。
依据：E01 主表!L57、L58（已确认）；E02 第一、二部分；E06 08:04</t>
  </si>
  <si>
    <t>局部进度和在制记录已存在，支持2分；时效、状态一致性和剩余负荷尚不足以支持3分。</t>
  </si>
  <si>
    <t>计划调整未形成规范机制；异常时现场先搁置问题小车并转做其他任务，依赖人员协调。
依据：E01 主表!L59、L60（已确认）；E06 12:28</t>
  </si>
  <si>
    <t>按经验调整判1分；“暂无”不解释为没有任何应急动作，也不把很少插单当作此项不适用。</t>
  </si>
  <si>
    <t>有委外发料手工交接、ERP委外仓调拨、领料、回货和检验入库单据；部分回货前全量领料扣账与实际耗用存在解释差异。
依据：E01 主表!L75（已确认）；E03 委外分工；E08 37:00；E17 对应文字</t>
  </si>
  <si>
    <t>已有委外节点及收发记录，按2分；不能据全量扣账认定供应商已实际消耗全部物料或在外数量已闭环。</t>
  </si>
  <si>
    <t>已有生产任务、产品SN/标签及MES状态记录；ERP未配置SN模块，ERP误单取消后旧MES任务仍保留。
依据：E01 主表!L36（已确认）；E04 SN管理；E08 MES/ERP取消问题；E02 第一部分</t>
  </si>
  <si>
    <t>已有工单和身份记录，支持2分；取消和完成状态未贯通，不评为完整受控生命周期。</t>
  </si>
  <si>
    <t>开工按流转卡及小车备料确认，员工自行检查电脑和工具；异常判定后有OA/ERP后续处理记录。
依据：E01 主表!L56、L59（已确认）；E06 开工与异常现状</t>
  </si>
  <si>
    <t>已有局部检查和异常处理，按2分；未证明关键错料、错版、资格、质量状态已形成统一防错。</t>
  </si>
  <si>
    <t>使用MES扫码报工，装配数据先记纸单后按批录入，报工不实时。
依据：E01 主表!L57（已确认）；E02 第一部分；E05 59:21</t>
  </si>
  <si>
    <t>有电子工序记录，按2分；时效不足，补录审计与数量平衡未核实，不能支持3分。</t>
  </si>
  <si>
    <t>在制按流转卡管理，工序完成后标注并在MES提交；系统在制/入库状态有不一致。
依据：E01 主表!L58（已确认）；E06 08:04、15:20</t>
  </si>
  <si>
    <t>已有流转及在制记录，按2分；防跳漏序、位置和质量准入的全链控制尚未得到确认。</t>
  </si>
  <si>
    <t>提到批量报工和小车流转，但未确认拆批、合批及部分转移关系。
线索：E01 主表!L58、L67；E10 C10</t>
  </si>
  <si>
    <t>批量报工不等于拆合批；业务是否存在及父子关系/数量平衡均待核实，不排除本项。</t>
  </si>
  <si>
    <t>工艺存在顺序作业和台架接续线索；并行、汇合及特殊路径未清晰展开。
线索：E01 主表!L66；E07 跨线接续；E10 C10</t>
  </si>
  <si>
    <t>L66答复实际涉及委外安排，不能据题目名称认定已调研并行工序；留空。</t>
  </si>
  <si>
    <t>已确认开工单按五的倍数，来料超送有补单/备品等处理。
线索：E01 主表!L67、L70；E10 C10</t>
  </si>
  <si>
    <t>开单倍数、采购超送不等于制造超单/欠量容差；阈值、批准和短关闭规则未确认。</t>
  </si>
  <si>
    <t>替代、返工返修的工艺文件未受控；已发生SN错配后私下返修、再次出错的案例，换件后的绑定记录不完整。
依据：E01 主表!L43（已确认）；E02 重绑记录问题；E16 00:50:30</t>
  </si>
  <si>
    <t>仅据已确认的返修执行及记录断点判1分；不以“没有预设返工路线”单独判低分，也不替质量部门确认放行制度。</t>
  </si>
  <si>
    <t>异常先发消息给主管，分类后的来料退料、报废、补料已在OA/ERP运行；异常影响范围判定及约束未规范。
依据：E01 主表!L59（已确认）；E06 12:28</t>
  </si>
  <si>
    <t>已有异常报告和后续处置记录，按2分；统一升级、责任时限、停复工和影响控制不足，不把它写成“完全没有流程”。</t>
  </si>
  <si>
    <t>长班模式无日常白夜班交接；未完任务通常原人次日继续，请假时在记录中指定对接人并当面交代。
依据：E01 主表!L61（已确认）；E06 15:20；E15 00:15:20</t>
  </si>
  <si>
    <t>已有零散任务承接办法，按1分；换线/清场等完整记录未证实，仍需保留本项而非因无夜班排除。</t>
  </si>
  <si>
    <t>库存已有ERP账和物料卡，实物按大类/型号约定区域；无规范系统库位，备品、电池等特殊事务造成账实差异。
依据：E01 主表!L71、L78、L85（已确认）；E08 40:53、49:34；E02 第一部分</t>
  </si>
  <si>
    <t>按位置和状态管理依赖线下、特殊事务不一致判1分；不将有ERP库存账等同于账位物状态完整。</t>
  </si>
  <si>
    <t>收货、检验交接及入退库有ERP/OA单据；成品检验结束即生产入账，包装完成后的实物收库发生在后。
依据：E01 主表!L70、L76（已确认）；E17 00:00:15—00:02:19；E08 40:53</t>
  </si>
  <si>
    <t>已有交接记录，支持2分；账务与实物交接时点不一致，不能按3分评价。采用原文字记录纠正智能纪要“无检验单”的概括。</t>
  </si>
  <si>
    <t>计划任务下达后生成领料单，由仓管备料、审核并随小车附流转卡；当前没有线边仓，部分辅料由包装自行取用。
依据：E01 主表!L73（已确认）；E08 30:08</t>
  </si>
  <si>
    <t>已有备料、配送和交接单据，按2分；配送签收、缺料和补给的全过程状态未形成已证明的3分闭环。</t>
  </si>
  <si>
    <t>领、退、补料有ERP单据和OA审批；客户不要电池时已领电池未退账，辅料及包材存在账实错时。
依据：E01 主表!L73、L85（已确认）；E08 30:08、01:21:07</t>
  </si>
  <si>
    <t>电子物料事务已存在，按2分；工单实际消耗、余料及配置差异未平衡，不能支持3分。</t>
  </si>
  <si>
    <t>日期以纸质标签记录，先进先出靠人员执行；效期未严格控制，电子料/胶水已有空调除湿或冷藏措施。
依据：E01 主表!L72（已确认）；E08 15:07、01:07:22、01:10:06</t>
  </si>
  <si>
    <t>按人工规则和零散记录判1分；不把未严格管效期写成没有任何储存措施，也不推断全部物料已有电子批次。</t>
  </si>
  <si>
    <t>线材、热缩管、胶水等存在采购/使用单位转换、裁剪或整瓶发放，库存尾差难控制；包装/拆包主要由现场处理。
依据：E01 主表!L83（已确认）；E08 01:25:50；E02 单位与套料线下规则</t>
  </si>
  <si>
    <t>按包装与计数换算依赖人工判1分；不采用相互不一致的“暂无称重”与“螺丝称重”陈述作为判分条件。</t>
  </si>
  <si>
    <t>物料随小车和流转卡搬运，厂内收发已有相关单据。
线索：E01 主表!L56、L73；E10 C12/C13</t>
  </si>
  <si>
    <t>独立搬运任务、起止位置、签收、异常接管等未专项确认，不凭手工搬运直接给低分。</t>
  </si>
  <si>
    <t>已有指定料号抽盘，盘盈盘亏需说明并经审批在ERP调账。
依据：E01 主表!L77（已确认）；E08 48:05</t>
  </si>
  <si>
    <t>已证明盘点和差异清单/调账，按2分；冻结品、在制及全范围覆盖和复发整改未核实。盘点具体期间口径存在差异，不纳入判分。</t>
  </si>
  <si>
    <t>检验表以研发下发为主，已有电子模板和受控文件；质量可在不改原项的基础上增项。检验员按送货规格选表，部分表标有全检、AQL或比例抽检，旧版表未统一更新；模组外观仍依经验，缺少明确标准及不良/样品库。
依据：E19 00:00:23—00:05:07、00:41:04—00:46:42；E18。</t>
  </si>
  <si>
    <t>质量调研资料对照评分</t>
  </si>
  <si>
    <t>依据2026-10-20质量访谈文字记录，并结合所引既有记录；未新增现场/原始单据抽样，不代表全产品、工位、班次覆盖。</t>
  </si>
  <si>
    <t>电子检验模板及ERP/飞书结果记录支持局部规范，判2分。各物料抽样方案、模板版本适用和模组外观标准未统一，未证实产品—工序—版本—抽样—放行的受控关联，不判3分。标准件等存在例外，不将摘要的外观全检外推为全部物料。</t>
  </si>
  <si>
    <t>文员按来料和计划安排每日检验，按项目分工并可跨岗调配；纸表随物料流转，急料优先级线下调整。检后在飞书审批、ERP记录检验判定，来料、自制件和模组出货前检验均有执行路径。
依据：E19 00:05:56—00:15:03、00:25:19—00:30:57、00:32:37—00:40:09、00:47:11—00:48:16；E07。</t>
  </si>
  <si>
    <t>存在检验责任、记录及电子判定流程，按已访范围判2分。每日分配表不是精确到送检单/小车的实时任务，未验证首件、巡检全部触发、漏检拦截及授权流转，不外推为3分。</t>
  </si>
  <si>
    <t>既有产测软件保存单台测试数据并曾上传旧MES。质量原始检验数据主要纸档，检后飞书/ERP留判定；有编号来料按表记录身份，文员归档，受访说明保存期10年。较早记录查找可能需1—2小时。
依据：E05 00:27、39:04、41:48；E07；E19 00:25:19—00:32:21、00:41:29—00:42:28、00:56:33—01:00:18。</t>
  </si>
  <si>
    <t>保留原2分：已有局部电子测试及判定记录，纸档测量明细尚未贯通。质量端反映U盘取数，不否定研发确认的局部上传；联网覆盖需按工位核验。原始值/单位/限值、实际量具与程序版本、复测不覆盖尚未全链验证。</t>
  </si>
  <si>
    <t>量具按年由第三方校准并出具证书；环规等检具有编号，辅助治具部分无编号。除FAI等场景外，一般检验不记录实际所用量检具。既有产线扭力工具另有自行校准记录。
依据：E19 00:48:01—00:48:36、00:55:03—00:56:29；E01 主表!L102；E07 01:11:28。</t>
  </si>
  <si>
    <t>年度校准及编号做法已存在，判1分，不认定为未校准。2分所需完整量检具档案、结构化校准记录及有效状态尚未核验，按原00页分档原则保守取档；使用前核验、超期停用、失准影响追溯及适用MSA仍需补证。</t>
  </si>
  <si>
    <t>质量确认当前未系统开展SPC过程分析，参数主要纸档记录；提出数据上线后再开展在线分析。尚未核实是否另有受控趋势、分组限值等适用的等效统计方法。
依据：E19 01:28:59—01:30:01；E05 45:48。</t>
  </si>
  <si>
    <t>质量专项已访；保留空白并改为待补证。未开展SPC不等同于全部过程统计控制为0；仅记录参数也不足以证明已有统计判异做法。需核实等效方法、统计记录与响应后再定档。</t>
  </si>
  <si>
    <t>不合格物料贴标进专用不良区，飞书审批后由相关岗位办理退料；自制件退加工/生产返工或报废，再送检。急料泡棉曾补救特采。问题库存排查、隔离冻结以人工查字符和贴标为主。
依据：E19 00:27:30—00:30:57、00:49:11—00:54:10、01:24:50—01:28:43；E17。</t>
  </si>
  <si>
    <t>不合格单、隔离标识、ERP判定及电子审批存在，判2分。特采补救和冻结未形成已证实的系统状态同步与领用拦截，不判3分；访谈反映实际线下操作，不据此断定ERP完全无冻结功能。</t>
  </si>
  <si>
    <t>旧MES能查PCB相关绑定、生产时间、作业人及部分维修/测试信息。其他关键物料及实际换件关联不完整，部分需纸档或拆机查看；质量希望建立工单—物料批次—产品SN关系。来料检验以送检单号组织，不能等同供应商批次。
依据：E01 计划!I4；E02 第一、二部分；E05；E19 00:35:32—00:37:30、01:06:40—01:12:24。</t>
  </si>
  <si>
    <t>保留原2分：可按产品身份查部分履历。首次绑定和进入维修的记录不能代表最终实装，纸档检验批/送检单也不等于供应商批次；完整人机料法与换件链尚未贯通，不判3分。</t>
  </si>
  <si>
    <t>质量曾对问题轴类库存逐件核对字符、隔离贴标；尾料混放增加排查困难。客诉仅有成品SN且未收到实物时，系统不能完整给出关键用料；未取得由异常物料批次反查受影响产成品的清单或演练。
依据：E19 01:09:16—01:12:13、01:23:05—01:28:43。</t>
  </si>
  <si>
    <t>质量专项已访；保留空白并改为待补证。已证实库存排查和线下冻结，不等于已能整理受影响产成品清单。产品反查边界、数量完整性及所需人工步骤未确认，不据查询困难或功能诉求直接判0/1/2分。</t>
  </si>
  <si>
    <t>已运行8D审批及报告流转：研发承担前段原因分析，质量承担后段改善预防并复核原因；完整报告仍需线下签字后上传。客诉发现问题会补加检验项或加严要求，原因分析还需分散调取记录和现场核对。
依据：E19 00:41:04—00:41:11、01:15:34—01:22:17。</t>
  </si>
  <si>
    <t>已有电子审批、8D报告、责任分工及标准更新做法，满足局部问题/措施记录，判2分。原因验证、措施效果确认和复发统计尚无完整样本，不判3/4分；线上自动电子签仍是待确认方案，未计为现有能力。</t>
  </si>
  <si>
    <t>原有MES粗粒度不良统计及纸质出货检验表；质量有ERP检验判定、飞书审批和原始纸档归档。检验日报统计完成量、达成率和未完成原因，属于作业统计，不直接代表首次通过率或质量损失。
依据：E05 39:04、41:48；E07；E19 00:12:32—00:15:03、00:26:34—00:30:57、00:41:29—00:42:28。</t>
  </si>
  <si>
    <t>结合既有质量粗统计、电子判定/审批与放行记录，按已访范围判2分。首次通过、返工/复测、报废及放行档案尚未统一关联，未证实一致口径和完整归档，不判3分；不把日报工时达成率替作质量合格率。</t>
  </si>
  <si>
    <t>已有设备编号与台账线索，业务编号与资产编码可不同，编号主要用于识别。
线索：E01 主表!L98；E07 01:11:28；E10 C24</t>
  </si>
  <si>
    <t>设备技术档案、位置/配置、关键程度与维护要求未逐项核实，不能仅凭“有”或编号简单确定档位。</t>
  </si>
  <si>
    <t>知道机加与装配设备的部分维护方式。
线索：E01 主表!L99；E07 设备现状；E10 C24</t>
  </si>
  <si>
    <t>状态时间、停机原因及现场核对未取得，不从设备存在推断已有状态采集。</t>
  </si>
  <si>
    <t>机加设备已有保养规范；装配线小型设备/夹治具主要用坏后处理，维护策略在不同对象间分散。
依据：E01 主表!L99（已确认）；E07 01:11:28</t>
  </si>
  <si>
    <t>按局部规范与经验性维护并存判1分；不能以装配现象否定机加已有保养，也未证明统一电子计划/执行记录。</t>
  </si>
  <si>
    <t>生产工具损坏时经主管确认后更换，存在日常处理做法。
线索：E06 23:34；E10 C24</t>
  </si>
  <si>
    <t>设备报修、维修过程、复工验收和恢复记录未展开；工具更换不能替代故障恢复体系。</t>
  </si>
  <si>
    <t>机加刀具有寿命考虑；产线扭力工具等由人员自行管理，小型夹具用坏后更换。
依据：E01 主表!L102（已确认）；E07 设备现状</t>
  </si>
  <si>
    <t>按局部寿命及个人管理做法判1分；扭力工具校准确实存在，不能按无校准评分，校准专题F04仍待质量核实。</t>
  </si>
  <si>
    <t>工具仓有备用工具，日常锁闭，损坏后经主管确认领取。
线索：E06 23:34；E10 C24</t>
  </si>
  <si>
    <t>关键维修备件、库存/替代、维修资源保障与等待数据未确认，留空。</t>
  </si>
  <si>
    <t>未取得设备状态诊断或预测维护的实际应用证据。
线索：E10 C24</t>
  </si>
  <si>
    <t>适用设备/劣化对象、参数、预警与干预效果未调查，不以未提出需求判0或排除。</t>
  </si>
  <si>
    <t>生产访谈提出后续按需要考虑设备OEE等报表。
线索：E06 管理统计需求；E10 C24/C25</t>
  </si>
  <si>
    <t>需求不等于已有指标；OEE/等效口径、原始时间和维护效果未确认。</t>
  </si>
  <si>
    <t>存在工业终端、自动测试和部分离线量具。
线索：E01 主表!L124；E05 测试自动化；E07 离线量具</t>
  </si>
  <si>
    <t>设备总数、数字化/联网/有效采集清单与分母未确认，不能估算三类比例。</t>
  </si>
  <si>
    <t>主表将基础设施描述为“较基础”，研发提到部分电脑无网络。
线索：E01 主表!L123；E05 00:27；E02 基础设施建设中</t>
  </si>
  <si>
    <t>缺少网络拓扑、关键连接范围、可用性和业务时延证据；不把有离线工位直接当作网络不达标。</t>
  </si>
  <si>
    <t>产测软件可自动执行并保存测试数据，部分已上传旧MES；装配及离线量具仍有纸面记录和后续转录。
依据：E01 研发!I41、I44；E05 45:48、59:21；E07 测量与采集现状</t>
  </si>
  <si>
    <t>已有局部自动采集，按2分；不把“无统一归集”写成“没有采集”，也不据测试局部推算全厂自动采集率。</t>
  </si>
  <si>
    <t>现场记录存在本地、纸质与MES多载体。
线索：E05 数据现状；E10 C24/C26</t>
  </si>
  <si>
    <t>点位语义、单位、时钟、采样、上下文绑定及异常数据规则未调查。</t>
  </si>
  <si>
    <t>测试数据部分在本地保留；新建设有数据归集诉求。
线索：E05 本地数据现状；E10 C24/C26</t>
  </si>
  <si>
    <t>本地保存不等于具备缓存补传；断网降级、顺序、幂等和恢复未确认。</t>
  </si>
  <si>
    <t>产测程序有工序分支和版本，配置文件包含型号、参数与测试项，由发布平台提供可选版本。
线索：E01 研发!I37:I38；E05 24:54；E10 C24/C26</t>
  </si>
  <si>
    <t>版本管理已确认，但参数/程序下发时的人工核对、接收确认、回读和异常回退未核实。不能把有版本管理推断为下发控制已落地，暂不赋分。</t>
  </si>
  <si>
    <t>现场有流转卡和工序记录；测试软件可识别已完成节点，转至其他台架能够接续测试，单元控制已局部具备。
依据：E01 主表!L56:L58（已确认）；E05 测试自动化；E07 跨线接续规则</t>
  </si>
  <si>
    <t>有操作顺序与基本状态记录，支持2分；不据单一台架接续能力认定全线任务许可、安全和身份协同已贯通。</t>
  </si>
  <si>
    <t>测试自动化较高，装配人工为主；拟按后续资源变化完善自动化。
线索：E01 研发!I44；E05 测试自动化；E07 工艺扩展</t>
  </si>
  <si>
    <t>没有适配/投资评审、换型与接管验证及实际收益记录，不因使用自动设备给高分。</t>
  </si>
  <si>
    <t>ERP、PLM、旧MES、协同流程和测试软件并存，部分流程由不同系统承载；用户汇总明确指出系统边界不清晰、数据孤岛。
依据：E01 主表!L118（已确认）；E02 第一部分；E03 现有工具接口</t>
  </si>
  <si>
    <t>按应用分散、职责和数据边界不清判1分；不以系统数量代替架构成熟度，也不认定现有系统没有集成。</t>
  </si>
  <si>
    <t>自建排产程序已通过API读取ERP BOM/库存；旧MES与ERP存在集成异常，ERP删除/取消后MES任务不同步。
依据：E03 当前系统对接；E08 01:12:32；E02 第一部分</t>
  </si>
  <si>
    <t>按部分接口已运行、生命周期异常依赖人工处理判1分；未把接口设计、补偿和对账方案当作已经落地。</t>
  </si>
  <si>
    <t>存在系统权限限制和未来资质/数据权限需求。
线索：E05 初测接口；E06 资质需求；E10 C26</t>
  </si>
  <si>
    <t>个人身份、角色、最小权限、回收及修改审计未专项核实；接口收费不等同权限机制缺失。</t>
  </si>
  <si>
    <t>主表复合安全问题答复“无”，既有报告将网络分区、防护等列为待确认。
线索：E01 主表!L126（原状态已确认）；E09 D10；E10 C26</t>
  </si>
  <si>
    <t>复合简答未分辨网络分区、补丁、防护的实际对象和执行情况，本次不据一个“无”扩展为整项0分或合规结论。</t>
  </si>
  <si>
    <t>安全复合答复提及远程维护但无独立接入记录。
线索：E01 主表!L126；E10 C26</t>
  </si>
  <si>
    <t>未确认是否存在远程通道及其授权/撤销/审计，不区分对象就不能判断不适用或0分。</t>
  </si>
  <si>
    <t>服务器、网络、供电、部署等正在规范化建设。
线索：E02 第一部分；E10 C26/C27</t>
  </si>
  <si>
    <t>备份范围、恢复目标、实际恢复与应急演练未取得，不能把“建设中”视为完全没有或已经具备。</t>
  </si>
  <si>
    <t>用户确认卡顿、报表和集成问题；产测软件有多版本发布。
线索：E02 第一部分；E05 软件版本；E10 C26/C27</t>
  </si>
  <si>
    <t>实际负载、容量、发布测试/回退与性能目标未核实；性能问题作为事实保留，不能直接换算管理档位。</t>
  </si>
  <si>
    <t>旧MES接口扩展依赖厂商，用户反映历史实施知识分散。
线索：E02 第一部分；E05 接口现状；E10 C27</t>
  </si>
  <si>
    <t>完整导出权、数据语义/关联、交接和退出验证未确认；收费或不开源本身不等于不可迁移。</t>
  </si>
  <si>
    <t>已有个人产能日报、月度入库任务及MES粗粒度不良统计；资料分散，包装收库与生产入账的事件时点不同。
依据：E01 主表!L21（已确认）；E03 月度任务；E05 41:48；E06 18:55；E08 40:53</t>
  </si>
  <si>
    <t>基本指标及报表已存在，按2分；统一字典、明细核验及可比趋势尚未证实。口述产量不是实际能力或收益基线。</t>
  </si>
  <si>
    <t>已知进度反馈滞后、在制状态不一致及短期排产限制。
线索：E01 主表!L57；E06；E10 C25</t>
  </si>
  <si>
    <t>按期交付、WIP、制造周期的统计与改善对照未取得，不用痛点数量推算绩效分。</t>
  </si>
  <si>
    <t>已确认备品/电池账实差异、人工补料和返修记录断点。
线索：E08；E02 第一部分；E10 C25</t>
  </si>
  <si>
    <t>制造损耗、实际工时/材料消耗及损失核算未专项确认，不能据库存差异估算成本或收益。</t>
  </si>
  <si>
    <t>未取得制造能源/水/介质计量与效率资料。
线索：E10 C24/C25</t>
  </si>
  <si>
    <t>计量边界、单位产出、工况和改进基线未调查，留空不计0。</t>
  </si>
  <si>
    <t>车间无法提前查看完整一周排单，成品仓缺生产/发货先后信息。
线索：E02 第一、二部分；E06 18:55；E10 C12</t>
  </si>
  <si>
    <t>具体看板、更新时效及管理响应记录未核实；信息不畅不等同完全没有可视化。</t>
  </si>
  <si>
    <t>研发为客诉、统计等需逐工位导出、收集本地和纸质数据；用户汇总指出数据分析开展较少，产测软件尚无SPC等分析。
依据：E01 研发!I40:I42；E05 41:48、45:48；E02 第一部分</t>
  </si>
  <si>
    <t>按临时取数和人工分析判1分；不据此认定所有部门没有任何分析，不宣称规则/模型已稳定用于优化决策。</t>
  </si>
  <si>
    <t>现场有经验改进和工程反馈；用户指出分析与规范不足。
线索：E07 异常反馈；E02 第一部分；E10 C23/C25</t>
  </si>
  <si>
    <t>PDCA、原因验证、标准更新、知识使用及复发效果未取得，不能把建议改善视为已运行机制。</t>
  </si>
  <si>
    <t>有MES替换及后续扩展方向，尚未提供数字化建设收益基线。
线索：E05 替换规划；E10 C25/C28</t>
  </si>
  <si>
    <t>试点实际效果、连续保持和复制验证未取得；新厂/新项目规划不是成效证据。</t>
  </si>
  <si>
    <t>资料诊断结果及覆盖范围 · V2.2</t>
  </si>
  <si>
    <t>质量专项已纳入，本轮新增评分反映资料覆盖扩大。其余用户评分保留；未赋分项保留权重。现场抽样、企业复核与范围条件未满足，正式综合分和整厂等级仍留空。</t>
  </si>
  <si>
    <t>已判定项数</t>
  </si>
  <si>
    <t>已排除数</t>
  </si>
  <si>
    <t>未赋分数</t>
  </si>
  <si>
    <t>适用权重</t>
  </si>
  <si>
    <t>已判定部分参考分</t>
  </si>
  <si>
    <t>领域复核状态</t>
  </si>
  <si>
    <t>关键基础&lt;3项</t>
  </si>
  <si>
    <t>资料判定覆盖率</t>
  </si>
  <si>
    <t>领域诊断与限制</t>
  </si>
  <si>
    <t>流程/数据维护依靠分散规则；局部电子记录已有。岗位考核和上岗证已存在，但技能矩阵、权限、运维及治理资源未完整核实。</t>
  </si>
  <si>
    <t>已有BOM、SOP/软件版本及ECN审批，制造视图、版本适用、位置参数和首产交付仍依人员补充。不能概括为“无BOM/无文控”。</t>
  </si>
  <si>
    <t>主要依赖经验和短期齐套安排，已有派工/进度及委外收发记录。有限能力约束、变更反馈不足；批量/换型细节仍待核实。</t>
  </si>
  <si>
    <t>旧MES扫码与流转卡已运行；批次补录、状态不一致、私下返修及任务接续造成控制断点。拆合批、并行及超欠量未赋分。</t>
  </si>
  <si>
    <t>ERP/OA领退补和收发已有，特殊物料、实物交接时点及位置管理不闭环。抽盘及调账存在；不把缺WMS归为全部原因。</t>
  </si>
  <si>
    <t>质量已有电子检验模板、ERP/飞书判定与8D流程，原始明细主要纸档；量具年度校准已实施。8/10项可判，过程统计等效方法与产成品反查仍待补证。先统一标准、电子记录、批次身份与冻结交接，再深化追溯和SPC。</t>
  </si>
  <si>
    <t>机加有保养规范、刀具有寿命考虑；装配小型资源偏事后处理。扭力工具校准已存在；不据此判定无校准，其他维护能力待核实。</t>
  </si>
  <si>
    <t>自动测试、程序版本及单元接续已局部具备；装配和离线量具有转录。未取得设备比例、网络/时钟/补传和自动化效益验证。</t>
  </si>
  <si>
    <t>已有ERP接口及多系统应用，边界和事务生命周期不完整。权限、安全、远程、恢复、容量和退出可迁移性均未作确定评分。</t>
  </si>
  <si>
    <t>已有日报、月入库任务和粗统计，细分分析仍需分散取数。制造成本、能源、改善/复制收益未核实，不给出ROI或总体成效结论。</t>
  </si>
  <si>
    <t>整体结果</t>
  </si>
  <si>
    <t>结果值</t>
  </si>
  <si>
    <t>资料诊断覆盖率</t>
  </si>
  <si>
    <t>正式综合分/100</t>
  </si>
  <si>
    <t>本表分数解释</t>
  </si>
  <si>
    <t>关键基础短板数</t>
  </si>
  <si>
    <t>结果状态</t>
  </si>
  <si>
    <t>已排除原始权重</t>
  </si>
  <si>
    <t>目标/影响待完善项数</t>
  </si>
  <si>
    <t>评分范围门控</t>
  </si>
  <si>
    <t>有效适用权重</t>
  </si>
  <si>
    <t>解释限制</t>
  </si>
  <si>
    <t>已判定原始权重</t>
  </si>
  <si>
    <t>未判定原始权重</t>
  </si>
  <si>
    <t>仅资料判定项数</t>
  </si>
  <si>
    <t>企业复核完成项数</t>
  </si>
  <si>
    <t>已确认短板的建设建议 · V2.2</t>
  </si>
  <si>
    <t>本轮补充质量建议，优先统一检验模板、原始记录电子化和批次标识，再贯通不合格/冻结、制造履历及8D证据；SPC须先具备可信数据。原有非质量输入沿用，日期及验收目标依企业批准。</t>
  </si>
  <si>
    <t>能力项</t>
  </si>
  <si>
    <t>当前分</t>
  </si>
  <si>
    <t>阶段目标</t>
  </si>
  <si>
    <t>差距</t>
  </si>
  <si>
    <t>优先建议</t>
  </si>
  <si>
    <t>功能模块/能力包</t>
  </si>
  <si>
    <t>前置条件/依赖</t>
  </si>
  <si>
    <t>本企业实施范围及动作</t>
  </si>
  <si>
    <t>验收标准/取证方法</t>
  </si>
  <si>
    <t>责任人</t>
  </si>
  <si>
    <t>计划开始日期</t>
  </si>
  <si>
    <t>计划完成日期</t>
  </si>
  <si>
    <t>资源/投入估计</t>
  </si>
  <si>
    <t>实施阶段</t>
  </si>
  <si>
    <t>跟进状态</t>
  </si>
  <si>
    <t>明确制造范围、业务负责人和目标基线；先辨别流程问题与软件缺口。</t>
  </si>
  <si>
    <t>先补证：制造目标、收益基线、任务责任和资源未形成可核实的完整输入，不据规划诉求评分。</t>
  </si>
  <si>
    <t>验收模板：覆盖[产品/工序/班次]，抽取[样本数/期间]；验证“制造改善目标及收益基线”正常及异常场景；按目标档位核对[数据/日志/实物]，达到[业务时效/准确性/改善值]并由[责任岗位]签认。具体阈值待企业制定。</t>
  </si>
  <si>
    <t>先补证</t>
  </si>
  <si>
    <t>建议能力包：流程与数据治理</t>
  </si>
  <si>
    <t>建议先确定新旧料、变更、异常及任务交接的流程负责人、输入输出和升级条件。</t>
  </si>
  <si>
    <t>建议取证：以“流程责任与跨岗协作”实际正常/异常事务验证，核对原始记录、实物及系统状态。范围、样本、时效/准确性目标与验收人待企业确定；本次未提供运行实绩。</t>
  </si>
  <si>
    <t>建议待评审</t>
  </si>
  <si>
    <t>建议建立制造数据责任、权威来源及发布/纠错规则，先覆盖BOM、路线、SOP和测试版本。</t>
  </si>
  <si>
    <t>建议取证：以“制造数据责任与标准维护”实际正常/异常事务验证，核对原始记录、实物及系统状态。范围、样本、时效/准确性目标与验收人待企业确定；本次未提供运行实绩。</t>
  </si>
  <si>
    <t>先补证：技能矩阵、培训/资格记录覆盖及实际授权未核实。保留已有管理基础，不按无证或无培训评分。</t>
  </si>
  <si>
    <t>验收模板：覆盖[产品/工序/班次]，抽取[样本数/期间]；验证“制造岗位技能和上岗资格”正常及异常场景；按目标档位核对[数据/日志/实物]，达到[业务时效/准确性/改善值]并由[责任岗位]签认。具体阈值待企业制定。</t>
  </si>
  <si>
    <t>建议以实际工位作业穿行消除重复转录，明确补录、更正及绕过的授权。</t>
  </si>
  <si>
    <t>建议取证：以“一线使用与数字作业覆盖”实际正常/异常事务验证，核对原始记录、实物及系统状态。范围、样本、时效/准确性目标与验收人待企业确定；本次未提供运行实绩。</t>
  </si>
  <si>
    <t>先补证：问题记录、分级响应、服务责任及恢复过程尚未核实；体验问题不能直接确定整项运维档位。</t>
  </si>
  <si>
    <t>验收模板：覆盖[产品/工序/班次]，抽取[样本数/期间]；验证“现场系统故障处理和服务责任”正常及异常场景；按目标档位核对[数据/日志/实物]，达到[业务时效/准确性/改善值]并由[责任岗位]签认。具体阈值待企业制定。</t>
  </si>
  <si>
    <t>先补证：预算、建设资源、发布与验收治理未确认，意向日期不作批准计划。</t>
  </si>
  <si>
    <t>验收模板：覆盖[产品/工序/班次]，抽取[样本数/期间]；验证“制造能力建设和发布治理”正常及异常场景；按目标档位核对[数据/日志/实物]，达到[业务时效/准确性/改善值]并由[责任岗位]签认。具体阈值待企业制定。</t>
  </si>
  <si>
    <t>先补证：风险点、许可、联锁、异常处置及运行范围未调查，留空。</t>
  </si>
  <si>
    <t>验收模板：覆盖[产品/工序/班次]，抽取[样本数/期间]；验证“制造安全风险和环境作业约束”正常及异常场景；按目标档位核对[数据/日志/实物]，达到[业务时效/准确性/改善值]并由[责任岗位]签认。具体阈值待企业制定。</t>
  </si>
  <si>
    <t>建议能力包：制造数据/工程发布</t>
  </si>
  <si>
    <t>编码、单位及主数据责任明确；版本、生效和现场使用边界已确认。</t>
  </si>
  <si>
    <t>建议统一制造物料属性、单位换算、精度和包装计数，专项核对历史余量。</t>
  </si>
  <si>
    <t>建议取证：以“物料编码与计量标准”实际正常/异常事务验证，核对原始记录、实物及系统状态。范围、样本、时效/准确性目标与验收人待企业确定；本次未提供运行实绩。</t>
  </si>
  <si>
    <t>建议建立可执行的制造用料视图、工序关系与生效版本，核对同一产品的研发、ERP和现场资料。</t>
  </si>
  <si>
    <t>建议取证：以“制造BOM及版本”实际正常/异常事务验证，核对原始记录、实物及系统状态。范围、样本、时效/准确性目标与验收人待企业确定；本次未提供运行实绩。</t>
  </si>
  <si>
    <t>建议按典型产品核对替代组、混用限制、位号/安装位置与参数，并明确发布责任。</t>
  </si>
  <si>
    <t>建议取证：以“替代料、组替代与位号”实际正常/异常事务验证，核对原始记录、实物及系统状态。范围、样本、时效/准确性目标与验收人待企业确定；本次未提供运行实绩。</t>
  </si>
  <si>
    <t>建议先形成标准工序依赖、资源和适用路线，再核查实际需要的返工、替代及委外路径。</t>
  </si>
  <si>
    <t>建议取证：以“工艺路线与特殊路径”实际正常/异常事务验证，核对原始记录、实物及系统状态。范围、样本、时效/准确性目标与验收人待企业确定；本次未提供运行实绩。</t>
  </si>
  <si>
    <t>建议把SOP、物料、工装、设备及实际测试版本关联，确认必要版本的适用和禁用规则。</t>
  </si>
  <si>
    <t>建议取证：以“工艺参数、程序与作业文件”实际正常/异常事务验证，核对原始记录、实物及系统状态。范围、样本、时效/准确性目标与验收人待企业确定；本次未提供运行实绩。</t>
  </si>
  <si>
    <t>建议按变更影响明确生效对象、库存/在制处置、资料同步与现场验证。</t>
  </si>
  <si>
    <t>建议取证：以“ECN生效与在制处置”实际正常/异常事务验证，核对原始记录、实物及系统状态。范围、样本、时效/准确性目标与验收人待企业确定；本次未提供运行实绩。</t>
  </si>
  <si>
    <t>建议先测定关键型号/工序准备和加工时间，建立资源日历及维护机制。</t>
  </si>
  <si>
    <t>建议取证：以“工时、资源与能力基准”实际正常/异常事务验证，核对原始记录、实物及系统状态。范围、样本、时效/准确性目标与验收人待企业确定；本次未提供运行实绩。</t>
  </si>
  <si>
    <t>建议设置最小制造交付包和首产准备检查，记录缺项、补测和例外放行。</t>
  </si>
  <si>
    <t>建议取证：以“试制到量产制造准备”实际正常/异常事务验证，核对原始记录、实物及系统状态。范围、样本、时效/准确性目标与验收人待企业确定；本次未提供运行实绩。</t>
  </si>
  <si>
    <t>制造BOM/路线、日历、能力、库存与进度数据可信。</t>
  </si>
  <si>
    <t>先补证：制造任务的产品版本记录及全链需求变更口径未充分确认，不把销售需求描述等同于该能力全项证据。</t>
  </si>
  <si>
    <t>验收模板：覆盖[产品/工序/班次]，抽取[样本数/期间]；验证“订单/主计划进入制造的规则”正常及异常场景；按目标档位核对[数据/日志/实物]，达到[业务时效/准确性/改善值]并由[责任岗位]签认。具体阈值待企业制定。</t>
  </si>
  <si>
    <t>建议能力包：计划与车间调度</t>
  </si>
  <si>
    <t>建议先校准日历、工时和能力约束，再建立可执行的排程及反馈规则。</t>
  </si>
  <si>
    <t>建议取证：以“有限能力与约束排程”实际正常/异常事务验证，核对原始记录、实物及系统状态。范围、样本、时效/准确性目标与验收人待企业确定；本次未提供运行实绩。</t>
  </si>
  <si>
    <t>建议整合齐套、版本、设备/工具和必要资格的就绪检查，明确缺项放行。</t>
  </si>
  <si>
    <t>建议取证：以“齐套与投产准备”实际正常/异常事务验证，核对原始记录、实物及系统状态。范围、样本、时效/准确性目标与验收人待企业确定；本次未提供运行实绩。</t>
  </si>
  <si>
    <t>先补证：工单批量、小车容量与套料包装有10/15及五套等不同对象；换型时间、批量约束和顺序规则未统一，暂不评分。</t>
  </si>
  <si>
    <t>验收模板：覆盖[产品/工序/班次]，抽取[样本数/期间]；验证“制造批量和换型安排”正常及异常场景；按目标档位核对[数据/日志/实物]，达到[业务时效/准确性/改善值]并由[责任岗位]签认。具体阈值待企业制定。</t>
  </si>
  <si>
    <t>建议贯通工单、工序和工位任务，并处理变更、撤回及执行确认。</t>
  </si>
  <si>
    <t>建议取证：以“工序派工与任务下达”实际正常/异常事务验证，核对原始记录、实物及系统状态。范围、样本、时效/准确性目标与验收人待企业确定；本次未提供运行实绩。</t>
  </si>
  <si>
    <t>建议统一完工、入库、在制和停等事件，及时反馈到计划并对账。</t>
  </si>
  <si>
    <t>建议取证：以“进度反馈与瓶颈识别”实际正常/异常事务验证，核对原始记录、实物及系统状态。范围、样本、时效/准确性目标与验收人待企业确定；本次未提供运行实绩。</t>
  </si>
  <si>
    <t>建议明确冻结、插单/变更影响评估、重排授权及任务同步。</t>
  </si>
  <si>
    <t>建议取证：以“插单、停机与计划调整”实际正常/异常事务验证，核对原始记录、实物及系统状态。范围、样本、时效/准确性目标与验收人待企业确定；本次未提供运行实绩。</t>
  </si>
  <si>
    <t>建议核对发出、在外、耗用、分批回货和余料，并反馈制造排程。</t>
  </si>
  <si>
    <t>建议取证：以“制造委外节点协同”实际正常/异常事务验证，核对原始记录、实物及系统状态。范围、样本、时效/准确性目标与验收人待企业确定；本次未提供运行实绩。</t>
  </si>
  <si>
    <t>建议能力包：制造执行/异常</t>
  </si>
  <si>
    <t>工单/标识、路线、版本、权限、物料和质量状态规则已稳定。</t>
  </si>
  <si>
    <t>建议统一任务状态、产品身份及跨系统新增/变更/取消/关闭规则。</t>
  </si>
  <si>
    <t>建议取证：以“工单生命周期与身份”实际正常/异常事务验证，核对原始记录、实物及系统状态。范围、样本、时效/准确性目标与验收人待企业确定；本次未提供运行实绩。</t>
  </si>
  <si>
    <t>建议先明确必须校验的开工条件，再设计拦截和受控授权。</t>
  </si>
  <si>
    <t>建议取证：以“开工条件与防错”实际正常/异常事务验证，核对原始记录、实物及系统状态。范围、样本、时效/准确性目标与验收人待企业确定；本次未提供运行实绩。</t>
  </si>
  <si>
    <t>建议定义报工粒度、实际发生时间、补录更正及投入产出对账。</t>
  </si>
  <si>
    <t>建议取证：以“报工、工时与数量平衡”实际正常/异常事务验证，核对原始记录、实物及系统状态。范围、样本、时效/准确性目标与验收人待企业确定；本次未提供运行实绩。</t>
  </si>
  <si>
    <t>建议统一在制状态和交接事件，验证必须工序及质量放行条件。</t>
  </si>
  <si>
    <t>建议取证：以“在制流转与工序防跳漏”实际正常/异常事务验证，核对原始记录、实物及系统状态。范围、样本、时效/准确性目标与验收人待企业确定；本次未提供运行实绩。</t>
  </si>
  <si>
    <t>先补证：批量报工不等于拆合批；业务是否存在及父子关系/数量平衡均待核实，不排除本项。</t>
  </si>
  <si>
    <t>验收模板：覆盖[产品/工序/班次]，抽取[样本数/期间]；验证“批次拆合及部分转移关系”正常及异常场景；按目标档位核对[数据/日志/实物]，达到[业务时效/准确性/改善值]并由[责任岗位]签认。具体阈值待企业制定。</t>
  </si>
  <si>
    <t>先补证：L66答复实际涉及委外安排，不能据题目名称认定已调研并行工序；留空。</t>
  </si>
  <si>
    <t>验收模板：覆盖[产品/工序/班次]，抽取[样本数/期间]；验证“非简单顺序的现场路径”正常及异常场景；按目标档位核对[数据/日志/实物]，达到[业务时效/准确性/改善值]并由[责任岗位]签认。具体阈值待企业制定。</t>
  </si>
  <si>
    <t>先补证：开单倍数、采购超送不等于制造超单/欠量容差；阈值、批准和短关闭规则未确认。</t>
  </si>
  <si>
    <t>验收模板：覆盖[产品/工序/班次]，抽取[样本数/期间]；验证“超产、少产及追加数量控制”正常及异常场景；按目标档位核对[数据/日志/实物]，达到[业务时效/准确性/改善值]并由[责任岗位]签认。具体阈值待企业制定。</t>
  </si>
  <si>
    <t>建议保留原始缺陷、实际操作、替出/替入、复测与再放行关联。</t>
  </si>
  <si>
    <t>建议取证：以“返工返修与重复过站”实际正常/异常事务验证，核对原始记录、实物及系统状态。范围、样本、时效/准确性目标与验收人待企业确定；本次未提供运行实绩。</t>
  </si>
  <si>
    <t>建议建立统一异常入口、分类通知、影响对象和恢复确认。</t>
  </si>
  <si>
    <t>建议取证：以“异常呼叫与停复工”实际正常/异常事务验证，核对原始记录、实物及系统状态。范围、样本、时效/准确性目标与验收人待企业确定；本次未提供运行实绩。</t>
  </si>
  <si>
    <t>建议围绕请假接续、换型号和余料建立必要交接清单，不增设无实际需要的白夜班流程。</t>
  </si>
  <si>
    <t>建议取证：以“交接班、换线与清场”实际正常/异常事务验证，核对原始记录、实物及系统状态。范围、样本、时效/准确性目标与验收人待企业确定；本次未提供运行实绩。</t>
  </si>
  <si>
    <t>建议能力包：厂内物料与库存交接</t>
  </si>
  <si>
    <t>物料、单位/包装、库位、批次、质量状态及工单接口已定义。</t>
  </si>
  <si>
    <t>建议明确位置编码和实物事件，先治理账外备品、余料及无电池事务。</t>
  </si>
  <si>
    <t>建议取证：以“厂内库存位置与状态”实际正常/异常事务验证，核对原始记录、实物及系统状态。范围、样本、时效/准确性目标与验收人待企业确定；本次未提供运行实绩。</t>
  </si>
  <si>
    <t>建议分别定义完工、质量放行、包装完成和实物收库事件及接口。</t>
  </si>
  <si>
    <t>建议取证：以“制造收货与完工交接”实际正常/异常事务验证，核对原始记录、实物及系统状态。范围、样本、时效/准确性目标与验收人待企业确定；本次未提供运行实绩。</t>
  </si>
  <si>
    <t>建议明确仓库到工位的备料、移交、签收、缺料及补给责任。</t>
  </si>
  <si>
    <t>建议取证：以“备料、配送与线边补给”实际正常/异常事务验证，核对原始记录、实物及系统状态。范围、样本、时效/准确性目标与验收人待企业确定；本次未提供运行实绩。</t>
  </si>
  <si>
    <t>建议将实际领退补、替代、损耗和配置差异关联工单并对账。</t>
  </si>
  <si>
    <t>建议取证：以“领退补料与实耗”实际正常/异常事务验证，核对原始记录、实物及系统状态。范围、样本、时效/准确性目标与验收人待企业确定；本次未提供运行实绩。</t>
  </si>
  <si>
    <t>建议定义需管理的批次/期限/开封和存储条件，形成发料顺序及例外控制。</t>
  </si>
  <si>
    <t>建议取证：以“批次、效期与存储条件”实际正常/异常事务验证，核对原始记录、实物及系统状态。范围、样本、时效/准确性目标与验收人待企业确定；本次未提供运行实绩。</t>
  </si>
  <si>
    <t>建议按典型物料明确包装层级、单位转换、拆包尾料和精度；称重细节另核实。</t>
  </si>
  <si>
    <t>建议取证：以“包装、容器与计数换算”实际正常/异常事务验证，核对原始记录、实物及系统状态。范围、样本、时效/准确性目标与验收人待企业确定；本次未提供运行实绩。</t>
  </si>
  <si>
    <t>先补证：独立搬运任务、起止位置、签收、异常接管等未专项确认，不凭手工搬运直接给低分。</t>
  </si>
  <si>
    <t>验收模板：覆盖[产品/工序/班次]，抽取[样本数/期间]；验证“工厂内部运输和物料转移”正常及异常场景；按目标档位核对[数据/日志/实物]，达到[业务时效/准确性/改善值]并由[责任岗位]签认。具体阈值待企业制定。</t>
  </si>
  <si>
    <t>建议明确制造仓/线边/在制覆盖及循环盘点，关联差异事务与防再发措施。</t>
  </si>
  <si>
    <t>建议取证：以“库存盘点与差异闭环”实际正常/异常事务验证，核对原始记录、实物及系统状态。范围、样本、时效/准确性目标与验收人待企业确定；本次未提供运行实绩。</t>
  </si>
  <si>
    <t>建议能力包：制造质量记录与追溯</t>
  </si>
  <si>
    <t>产品/工序特性、版本、身份标识、判定与放行权限已明确。</t>
  </si>
  <si>
    <t>建议：统一物料/规格与检验模板的关联、版本及适用范围，固化抽样和加严/恢复规则；先补模组外观判定依据与缺陷样例，再关联制造执行。</t>
  </si>
  <si>
    <t>建议取证：用来料、自制件及模组样本核对料号/规格、项目、抽样、限值和版本；验证旧版撤回、标准件例外、客诉增项与临时加严。 样本范围、阈值及验收人由企业确定。</t>
  </si>
  <si>
    <t>建议：将待检来源、物料/数量、检验项目和责任人形成任务，承接急料调整、并行检项、分单/合检及交接；关联判定、审批和入库资格。</t>
  </si>
  <si>
    <t>建议取证：选正常到料、急料、同料多单合检及自制送检场景，核对任务、实物、检项完成、判定和后续交接；补验首件/巡检触发及漏检控制。 样本范围、阈值及验收人由企业确定。</t>
  </si>
  <si>
    <t>建议：优先建立检验记录电子模板及索引，保留来源、原始值、单位、限值、身份和版本；联网产测自动归集，离线量具简便录入，避免纸电重复填报。</t>
  </si>
  <si>
    <t>建议取证：以纸质原表、产测原文件和ERP判定对账；验证初测/失败/复测分别留存、历史查询、原始附件访问及录入更正痕迹。留存规则按获准制度执行。 样本范围、阈值及验收人由企业确定。</t>
  </si>
  <si>
    <t>建议：核对量检具台账、编号、校准证书与有效期，明确辅助治具和计量器具边界；将关键检验记录关联实际器具，建立失准停用与影响排查。</t>
  </si>
  <si>
    <t>建议取证：抽核量具实物、档案及校准证书一致性，确认电子台账覆盖；验证临近到期、超期、失准及FAI/普通检验的用具记录规则，按风险决定MSA。 样本范围、阈值及验收人由企业确定。</t>
  </si>
  <si>
    <t>先补证：先核实当前是否使用趋势/限值等效统计及异常响应，取得实际记录；同步规范参数、单位、分组和版本，数据可信后选择适用SPC场景。</t>
  </si>
  <si>
    <t>建议取证：补充现有趋势表/控制图或等效判异记录、分组口径及响应案例；确认确无基本统计规则后方可评0，不以未来SPC需求代替现状证据。 样本范围、阈值及验收人由企业确定。</t>
  </si>
  <si>
    <t>建议：统一不合格、待处置、特采、返工/复检及放行状态，关联审批与实物去向；批次冻结先明确对象和授权，再贯通ERP/仓储/MES的发料与投入约束。</t>
  </si>
  <si>
    <t>建议取证：核对不良区实物、异常单、审批和退料/返工去向；用急料特采、待批领用、冻结投入、部分解除及复检案例验证状态一致和权限。 样本范围、阈值及验收人由企业确定。</t>
  </si>
  <si>
    <t>建议：区分供应商批次、到货/送检单、内部检验批及生产批，保留拆箱/转车映射；按风险定义关键物料并记录首次绑定、换出换入和检验关联。</t>
  </si>
  <si>
    <t>建议取证：用多来源合检、拆箱转车、跨供应商尾料、产品换件及复测样本核对身份链；从SN还原实际投入、检验和维修历史，与实物及原记录对照。 样本范围、阈值及验收人由企业确定。</t>
  </si>
  <si>
    <t>先补证：先选一宗已发生的物料异常，补做从来源批次到库存、在制及已完工产品的人工反查，记录可识别和无法识别的边界；再设计系统反查与冻结联动。</t>
  </si>
  <si>
    <t>建议取证：提供实际受影响产成品清单、来源映射、数量核对和漏圈/误圈说明；分别核查物料库存排查、产品正查及异常来源反查，避免以其中一项替代其他项。 样本范围、阈值及验收人由企业确定。</t>
  </si>
  <si>
    <t>建议：复用既有8D流程，关联缺陷、原因证据、批次、责任、措施、效果验证与标准更新；按获准签核规则优化线上签署，保留最终报告版本和审计记录。</t>
  </si>
  <si>
    <t>建议取证：选一宗完整8D核对原因证据、改善预防、验证和关闭；验证补加检验项后的发布与执行。电子签须明确审阅内容、授权、代理及签署版本，不直接自动代签。 样本范围、阈值及验收人由企业确定。</t>
  </si>
  <si>
    <t>建议：统一检验判定、不良、首次通过、复测、返工和报废口径；将产品/批次放行依据、检验原始记录、批准及报告建立可查询档案。</t>
  </si>
  <si>
    <t>建议取证：核对质量统计分子分母、重复测试和不适用项；将ERP判定、飞书审批、原始检验及出货资料逐项关联，验证统计与放行证据一致。 样本范围、阈值及验收人由企业确定。</t>
  </si>
  <si>
    <t>设备/工装身份、关键程度、使用环境、生产计划和维护责任明确。</t>
  </si>
  <si>
    <t>先补证：设备技术档案、位置/配置、关键程度与维护要求未逐项核实，不能仅凭“有”或编号简单确定档位。</t>
  </si>
  <si>
    <t>验收模板：覆盖[产品/工序/班次]，抽取[样本数/期间]；验证“制造设备身份、能力和资料”正常及异常场景；按目标档位核对[数据/日志/实物]，达到[业务时效/准确性/改善值]并由[责任岗位]签认。具体阈值待企业制定。</t>
  </si>
  <si>
    <t>先补证：状态时间、停机原因及现场核对未取得，不从设备存在推断已有状态采集。</t>
  </si>
  <si>
    <t>验收模板：覆盖[产品/工序/班次]，抽取[样本数/期间]；验证“运行、停机及原因记录”正常及异常场景；按目标档位核对[数据/日志/实物]，达到[业务时效/准确性/改善值]并由[责任岗位]签认。具体阈值待企业制定。</t>
  </si>
  <si>
    <t>建议能力包：关键设备/工装基础</t>
  </si>
  <si>
    <t>建议先按关键程度区分维护对象，保留适用机加规范并补齐关键装配资源维护记录。</t>
  </si>
  <si>
    <t>建议取证：以“预防维护与点检闭环”实际正常/异常事务验证，核对原始记录、实物及系统状态。范围、样本、时效/准确性目标与验收人待企业确定；本次未提供运行实绩。</t>
  </si>
  <si>
    <t>先补证：设备报修、维修过程、复工验收和恢复记录未展开；工具更换不能替代故障恢复体系。</t>
  </si>
  <si>
    <t>验收模板：覆盖[产品/工序/班次]，抽取[样本数/期间]；验证“设备故障处理和恢复”正常及异常场景；按目标档位核对[数据/日志/实物]，达到[业务时效/准确性/改善值]并由[责任岗位]签认。具体阈值待企业制定。</t>
  </si>
  <si>
    <t>建议建立适用工装标识、匹配、领用及寿命/禁用状态；校准单独按质量证据确认。</t>
  </si>
  <si>
    <t>建议取证：以“工装、刀具与模具寿命”实际正常/异常事务验证，核对原始记录、实物及系统状态。范围、样本、时效/准确性目标与验收人待企业确定；本次未提供运行实绩。</t>
  </si>
  <si>
    <t>先补证：关键维修备件、库存/替代、维修资源保障与等待数据未确认，留空。</t>
  </si>
  <si>
    <t>验收模板：覆盖[产品/工序/班次]，抽取[样本数/期间]；验证“关键维护物资和资源保障”正常及异常场景；按目标档位核对[数据/日志/实物]，达到[业务时效/准确性/改善值]并由[责任岗位]签认。具体阈值待企业制定。</t>
  </si>
  <si>
    <t>先补证：适用设备/劣化对象、参数、预警与干预效果未调查，不以未提出需求判0或排除。</t>
  </si>
  <si>
    <t>验收模板：覆盖[产品/工序/班次]，抽取[样本数/期间]；验证“关键设备劣化识别和干预”正常及异常场景；按目标档位核对[数据/日志/实物]，达到[业务时效/准确性/改善值]并由[责任岗位]签认。具体阈值待企业制定。</t>
  </si>
  <si>
    <t>先补证：需求不等于已有指标；OEE/等效口径、原始时间和维护效果未确认。</t>
  </si>
  <si>
    <t>验收模板：覆盖[产品/工序/班次]，抽取[样本数/期间]；验证“设备效率与维护贡献”正常及异常场景；按目标档位核对[数据/日志/实物]，达到[业务时效/准确性/改善值]并由[责任岗位]签认。具体阈值待企业制定。</t>
  </si>
  <si>
    <t>先盘点接口、网络、点位语义、安全和应急边界；确认采集用途。</t>
  </si>
  <si>
    <t>先补证：设备总数、数字化/联网/有效采集清单与分母未确认，不能估算三类比例。</t>
  </si>
  <si>
    <t>验收模板：覆盖[产品/工序/班次]，抽取[样本数/期间]；验证“制造设备数字化、联网和可采集清单”正常及异常场景；按目标档位核对[数据/日志/实物]，达到[业务时效/准确性/改善值]并由[责任岗位]签认。具体阈值待企业制定。</t>
  </si>
  <si>
    <t>先补证：缺少网络拓扑、关键连接范围、可用性和业务时延证据；不把有离线工位直接当作网络不达标。</t>
  </si>
  <si>
    <t>验收模板：覆盖[产品/工序/班次]，抽取[样本数/期间]；验证“工位、设备网络连接质量”正常及异常场景；按目标档位核对[数据/日志/实物]，达到[业务时效/准确性/改善值]并由[责任岗位]签认。具体阈值待企业制定。</t>
  </si>
  <si>
    <t>建议能力包：现场采集与测试协同</t>
  </si>
  <si>
    <t>建议优先接入已有测试软件，补齐业务身份、数据质量和离线记录的受控归集。</t>
  </si>
  <si>
    <t>建议取证：以“生产与设备数据自动采集”实际正常/异常事务验证，核对原始记录、实物及系统状态。范围、样本、时效/准确性目标与验收人待企业确定；本次未提供运行实绩。</t>
  </si>
  <si>
    <t>先补证：点位语义、单位、时钟、采样、上下文绑定及异常数据规则未调查。</t>
  </si>
  <si>
    <t>验收模板：覆盖[产品/工序/班次]，抽取[样本数/期间]；验证“现场数据时间、含义及关联”正常及异常场景；按目标档位核对[数据/日志/实物]，达到[业务时效/准确性/改善值]并由[责任岗位]签认。具体阈值待企业制定。</t>
  </si>
  <si>
    <t>先补证：本地保存不等于具备缓存补传；断网降级、顺序、幂等和恢复未确认。</t>
  </si>
  <si>
    <t>验收模板：覆盖[产品/工序/班次]，抽取[样本数/期间]；验证“网络异常下采集和现场连续性”正常及异常场景；按目标档位核对[数据/日志/实物]，达到[业务时效/准确性/改善值]并由[责任岗位]签认。具体阈值待企业制定。</t>
  </si>
  <si>
    <t>先补证：版本管理已确认，但参数/程序下发时的人工核对、接收确认、回读和异常回退未核实。不能把有版本管理推断为下发控制已落地，暂不赋分。</t>
  </si>
  <si>
    <t>验收模板：覆盖[产品/工序/班次]，抽取[样本数/期间]；验证“受控参数/程序在设备端执行”正常及异常场景；按目标档位核对[数据/日志/实物]，达到[业务时效/准确性/改善值]并由[责任岗位]签认。具体阈值待企业制定。</t>
  </si>
  <si>
    <t>建议保留测试单元控制职责，将任务身份、结果和异常状态与制造流程同步。</t>
  </si>
  <si>
    <t>建议取证：以“工位与自动化单元协同”实际正常/异常事务验证，核对原始记录、实物及系统状态。范围、样本、时效/准确性目标与验收人待企业确定；本次未提供运行实绩。</t>
  </si>
  <si>
    <t>先补证：没有适配/投资评审、换型与接管验证及实际收益记录，不因使用自动设备给高分。</t>
  </si>
  <si>
    <t>验收模板：覆盖[产品/工序/班次]，抽取[样本数/期间]；验证“现场自动化投入的制造适配”正常及异常场景；按目标档位核对[数据/日志/实物]，达到[业务时效/准确性/改善值]并由[责任岗位]签认。具体阈值待企业制定。</t>
  </si>
  <si>
    <t>建议能力包：制造架构与业务接口</t>
  </si>
  <si>
    <t>功能边界、权威数据、业务事务、责任及可接受中断目标明确。</t>
  </si>
  <si>
    <t>建议形成制造能力归属、权威数据及跨系统事务边界，减少多头维护。</t>
  </si>
  <si>
    <t>建议取证：以“制造应用架构与数据边界”实际正常/异常事务验证，核对原始记录、实物及系统状态。范围、样本、时效/准确性目标与验收人待企业确定；本次未提供运行实绩。</t>
  </si>
  <si>
    <t>建议按业务事务定义新增、变更、撤销、重发、反馈和异常补偿，并实际测试对账。</t>
  </si>
  <si>
    <t>建议取证：以“业务接口与事务一致性”实际正常/异常事务验证，核对原始记录、实物及系统状态。范围、样本、时效/准确性目标与验收人待企业确定；本次未提供运行实绩。</t>
  </si>
  <si>
    <t>先补证：个人身份、角色、最小权限、回收及修改审计未专项核实；接口收费不等同权限机制缺失。</t>
  </si>
  <si>
    <t>验收模板：覆盖[产品/工序/班次]，抽取[样本数/期间]；验证“制造用户权限及关键记录修改”正常及异常场景；按目标档位核对[数据/日志/实物]，达到[业务时效/准确性/改善值]并由[责任岗位]签认。具体阈值待企业制定。</t>
  </si>
  <si>
    <t>先补证：复合简答未分辨网络分区、补丁、防护的实际对象和执行情况，本次不据一个“无”扩展为整项0分或合规结论。</t>
  </si>
  <si>
    <t>验收模板：覆盖[产品/工序/班次]，抽取[样本数/期间]；验证“制造网络边界与数字资产防护”正常及异常场景；按目标档位核对[数据/日志/实物]，达到[业务时效/准确性/改善值]并由[责任岗位]签认。具体阈值待企业制定。</t>
  </si>
  <si>
    <t>先补证：未确认是否存在远程通道及其授权/撤销/审计，不区分对象就不能判断不适用或0分。</t>
  </si>
  <si>
    <t>验收模板：覆盖[产品/工序/班次]，抽取[样本数/期间]；验证“外部人员远程接入制造环境”正常及异常场景；按目标档位核对[数据/日志/实物]，达到[业务时效/准确性/改善值]并由[责任岗位]签认。具体阈值待企业制定。</t>
  </si>
  <si>
    <t>先补证：备份范围、恢复目标、实际恢复与应急演练未取得，不能把“建设中”视为完全没有或已经具备。</t>
  </si>
  <si>
    <t>验收模板：覆盖[产品/工序/班次]，抽取[样本数/期间]；验证“制造数据及服务恢复”正常及异常场景；按目标档位核对[数据/日志/实物]，达到[业务时效/准确性/改善值]并由[责任岗位]签认。具体阈值待企业制定。</t>
  </si>
  <si>
    <t>先补证：实际负载、容量、发布测试/回退与性能目标未核实；性能问题作为事实保留，不能直接换算管理档位。</t>
  </si>
  <si>
    <t>验收模板：覆盖[产品/工序/班次]，抽取[样本数/期间]；验证“制造系统负载、升级和切换”正常及异常场景；按目标档位核对[数据/日志/实物]，达到[业务时效/准确性/改善值]并由[责任岗位]签认。具体阈值待企业制定。</t>
  </si>
  <si>
    <t>先补证：完整导出权、数据语义/关联、交接和退出验证未确认；收费或不开源本身不等于不可迁移。</t>
  </si>
  <si>
    <t>验收模板：覆盖[产品/工序/班次]，抽取[样本数/期间]；验证“制造数据导出、接口及长期维护”正常及异常场景；按目标档位核对[数据/日志/实物]，达到[业务时效/准确性/改善值]并由[责任岗位]签认。具体阈值待企业制定。</t>
  </si>
  <si>
    <t>建议能力包：制造指标与分析</t>
  </si>
  <si>
    <t>指标口径、可信历史数据、业务目标和可比基线明确。</t>
  </si>
  <si>
    <t>建议先统一产量、完工、实物收库、首次通过和在制口径，再建设指标报表。</t>
  </si>
  <si>
    <t>建议取证：以“制造指标定义与可信数据”实际正常/异常事务验证，核对原始记录、实物及系统状态。范围、样本、时效/准确性目标与验收人待企业确定；本次未提供运行实绩。</t>
  </si>
  <si>
    <t>先补证：按期交付、WIP、制造周期的统计与改善对照未取得，不用痛点数量推算绩效分。</t>
  </si>
  <si>
    <t>验收模板：覆盖[产品/工序/班次]，抽取[样本数/期间]；验证“制造交付和流动绩效”正常及异常场景；按目标档位核对[数据/日志/实物]，达到[业务时效/准确性/改善值]并由[责任岗位]签认。具体阈值待企业制定。</t>
  </si>
  <si>
    <t>先补证：制造损耗、实际工时/材料消耗及损失核算未专项确认，不能据库存差异估算成本或收益。</t>
  </si>
  <si>
    <t>验收模板：覆盖[产品/工序/班次]，抽取[样本数/期间]；验证“制造损耗及资源消耗分析”正常及异常场景；按目标档位核对[数据/日志/实物]，达到[业务时效/准确性/改善值]并由[责任岗位]签认。具体阈值待企业制定。</t>
  </si>
  <si>
    <t>先补证：计量边界、单位产出、工况和改进基线未调查，留空不计0。</t>
  </si>
  <si>
    <t>验收模板：覆盖[产品/工序/班次]，抽取[样本数/期间]；验证“制造能源、水和介质使用”正常及异常场景；按目标档位核对[数据/日志/实物]，达到[业务时效/准确性/改善值]并由[责任岗位]签认。具体阈值待企业制定。</t>
  </si>
  <si>
    <t>先补证：具体看板、更新时效及管理响应记录未核实；信息不畅不等同完全没有可视化。</t>
  </si>
  <si>
    <t>验收模板：覆盖[产品/工序/班次]，抽取[样本数/期间]；验证“制造看板到实际管理行动”正常及异常场景；按目标档位核对[数据/日志/实物]，达到[业务时效/准确性/改善值]并由[责任岗位]签认。具体阈值待企业制定。</t>
  </si>
  <si>
    <t>建议从明确制造问题选择分析场景，先统一数据与基线，再验证规则/模型的业务效果。</t>
  </si>
  <si>
    <t>建议取证：以“数据分析与适用优化场景”实际正常/异常事务验证，核对原始记录、实物及系统状态。范围、样本、时效/准确性目标与验收人待企业确定；本次未提供运行实绩。</t>
  </si>
  <si>
    <t>先补证：PDCA、原因验证、标准更新、知识使用及复发效果未取得，不能把建议改善视为已运行机制。</t>
  </si>
  <si>
    <t>验收模板：覆盖[产品/工序/班次]，抽取[样本数/期间]；验证“制造问题的标准化改善和知识”正常及异常场景；按目标档位核对[数据/日志/实物]，达到[业务时效/准确性/改善值]并由[责任岗位]签认。具体阈值待企业制定。</t>
  </si>
  <si>
    <t>先补证：试点实际效果、连续保持和复制验证未取得；新厂/新项目规划不是成效证据。</t>
  </si>
  <si>
    <t>验收模板：覆盖[产品/工序/班次]，抽取[样本数/期间]；验证“制造数字化用例的效果和扩展”正常及异常场景；按目标档位核对[数据/日志/实物]，达到[业务时效/准确性/改善值]并由[责任岗位]签认。具体阈值待企业制定。</t>
  </si>
  <si>
    <t>虚构填写示例与功能分期参考</t>
  </si>
  <si>
    <t>示例仅说明判分、目标、验收和功能实施时间表，全部不进入计分。月份是相对示意，不能视为任何企业的既定计划。</t>
  </si>
  <si>
    <t>场景</t>
  </si>
  <si>
    <t>示例事实/进入条件</t>
  </si>
  <si>
    <t>判分或能力包</t>
  </si>
  <si>
    <t>目标/分期与建设动作</t>
  </si>
  <si>
    <t>验收举例/边界</t>
  </si>
  <si>
    <t>评分示例：D03报工</t>
  </si>
  <si>
    <t>虚构：A线按工序电子报工；夜班次日补录，补录无审批。抽12个工单，8个延迟超过8小时。</t>
  </si>
  <si>
    <t>2分：有局部数字记录，未满足及时、受控更正和数量平衡等3分要求。不能仅因“有MES”给3分。</t>
  </si>
  <si>
    <t>目标3分；建设“现场报工与数量闭环”能力包；先统一报工及补录规则。</t>
  </si>
  <si>
    <t>示例：连续20个工作日覆盖两班；≥95%在完工30分钟内报工，投入产出全部可解释；补录全有审批。阈值仅示例，由企业确认。</t>
  </si>
  <si>
    <t>评分示例：F03测试数据</t>
  </si>
  <si>
    <t>虚构：测试机能自动采集Pass/Fail，但不保留原始值、限值和程序版本，复测覆盖原记录。</t>
  </si>
  <si>
    <t>2分：仅有测试结果，未达到原始数据与判定上下文完整受控的3分要求。</t>
  </si>
  <si>
    <t>目标3分；建立测试数据采集、限值版本及复测留痕。</t>
  </si>
  <si>
    <t>以合格、失败后复测、程序变更三类样本核对原始值/限值/版本；保留第一次失败且可反查。</t>
  </si>
  <si>
    <t>0分与未知</t>
  </si>
  <si>
    <t>虚构：现场确认关键资料无版本和审批，访谈、实物抽查及历史记录一致证明未控制。另一个车间尚未访谈。</t>
  </si>
  <si>
    <t>前者可给0分并记录核查依据；后者留空待补证，不能给0分。</t>
  </si>
  <si>
    <t>为已确认缺失制定基础规范；对未知项补充取证。</t>
  </si>
  <si>
    <t>0分同样填写证据、样本/覆盖、评估和复核信息。</t>
  </si>
  <si>
    <t>不适用示例：C08工序委外</t>
  </si>
  <si>
    <t>虚构：评估范围全部自制，路线与历史任务均无工序委外，已由生产和工程确认。</t>
  </si>
  <si>
    <t>可申请不适用，填写依据与评估/复核记录后排除；“旧系统不支持委外”不能排除。</t>
  </si>
  <si>
    <t>未来引入委外时重新评估；关键基础项不可排除。</t>
  </si>
  <si>
    <t>确认路线及历史任务与排除理由一致；披露排除权重，跨期比较保持范围一致。</t>
  </si>
  <si>
    <t>触发条件：关键基础薄弱，流程、版本、主数据、权限或恢复机制不稳。</t>
  </si>
  <si>
    <t>能力包：数据标准/工程发布、流程权限、现场网络、接口边界与连续性。</t>
  </si>
  <si>
    <t>实施窗口示例：立项后0—3月；需按规模和资源另定，非承诺。</t>
  </si>
  <si>
    <t>先完成关键基础和最小闭环穿行；用正常/异常案例验证资料、身份、权限和恢复。</t>
  </si>
  <si>
    <t>进入条件：阶段A关键基础可用，已明确真实业务优先级。</t>
  </si>
  <si>
    <t>能力包：排程派工、现场执行、厂内物料、检验追溯、设备维护及系统接口。</t>
  </si>
  <si>
    <t>实施窗口示例：第3—9月，选择价值明确的试点并逐模块扩展。</t>
  </si>
  <si>
    <t>跨系统账物/状态一致，班次覆盖稳定；异常可恢复，验收目标由业务负责人确认。</t>
  </si>
  <si>
    <t>进入条件：基础数据可信、主流程稳定，已有连续运行和收益基线。</t>
  </si>
  <si>
    <t>能力包：瓶颈/排程优化、SPC/设备状态诊断、能源效率、知识及成熟用例复用。</t>
  </si>
  <si>
    <t>实施窗口示例：第9—18月；算法及自动化按适配和收益选择。</t>
  </si>
  <si>
    <t>用同口径对照证明改善并保持；验证人工接管、回退和复制条件，不以新增大屏/AI作为验收。</t>
  </si>
  <si>
    <t>规划填写示例：A/B阶段依赖</t>
  </si>
  <si>
    <t>虚构：B06 ECN与D02开工校验均需工程版本规则；先完成工程发布，再上线版本校验。</t>
  </si>
  <si>
    <t>不能直接把当前分到目标分的差距换算为软件工作量。</t>
  </si>
  <si>
    <t>在05将B06、D02合并“工程发布与防错”，写明依赖、责任、具体开始/完成日期。</t>
  </si>
  <si>
    <t>示例：旧版资料禁用、按生效批次开工、在制处置和紧急授权4场景均通过；实际范围由企业填写。</t>
  </si>
  <si>
    <t>参考资料分析、标准状态与范围取舍</t>
  </si>
  <si>
    <t>核验日期：2026-10-15。逐项披露正文读取程度；不以未取得正文的资料生成条款或门槛。指标分档是专业转换，来源映射不代表逐字照录或合规认证。</t>
  </si>
  <si>
    <t>资料名称</t>
  </si>
  <si>
    <t>版本/状态</t>
  </si>
  <si>
    <t>实际读取程度</t>
  </si>
  <si>
    <t>原始/官方地址</t>
  </si>
  <si>
    <t>采用内容与正文入口</t>
  </si>
  <si>
    <t>排除、限制与转换说明</t>
  </si>
  <si>
    <t>S01</t>
  </si>
  <si>
    <t>中小企业数字化水平评测指标（2024年版）</t>
  </si>
  <si>
    <t>工信部；2024版；核验2026-10-15</t>
  </si>
  <si>
    <t>已读取15页正文；数字化场景及评分说明重点分析</t>
  </si>
  <si>
    <t>https://wap.miit.gov.cn/cms_files/filemanager/1226211233/attach/20249/06806120565f4ef3b849687b3a381c31.pdf</t>
  </si>
  <si>
    <t>采用制造相关场景和基础/管理/成效视角；将流程、执行与成效分开核查。</t>
  </si>
  <si>
    <t>排除设计仿真、营销、外部供应链、财务等。原企业综合权重、四级划分及场景门槛不移植到制造局部评分。</t>
  </si>
  <si>
    <t>S02</t>
  </si>
  <si>
    <t>中小企业数字化诊断过程及内容（用户指定知乎文章）</t>
  </si>
  <si>
    <t>原链接访问受限；核验2026-10-15</t>
  </si>
  <si>
    <t>原文未能取得；已阅读同标题全文补充稿，但无法确认与知乎逐字同源</t>
  </si>
  <si>
    <t>https://zhuanlan.zhihu.com/p/667425667</t>
  </si>
  <si>
    <t>补充阅读：https://xingongye.cn/cms/Digitaltransformation/992.html（2024-04-28，经验分享：一文读懂中小企业数字化诊断过程及诊断内容）。使用准备、访谈、现场核查、分析与改进的过程框架。</t>
  </si>
  <si>
    <t>该补充稿仅作诊断方法参考，不作独立评分权威。不能声称已核读指定知乎原文；其中采购、营销和全面企业管理内容不纳入。</t>
  </si>
  <si>
    <t>S03</t>
  </si>
  <si>
    <t>GB/T 39116—2020 智能制造能力成熟度模型</t>
  </si>
  <si>
    <t>国家标准；当前检索为现行；核验2026-10-15</t>
  </si>
  <si>
    <t>已核读模型、要素及表1—5制造相关要求；查看其余领域以确认排除边界</t>
  </si>
  <si>
    <t>https://std.samr.gov.cn/search/stdPage?q=39116</t>
  </si>
  <si>
    <t>正文副本：https://zstlac.com/zzcms/DFS/file/2022/05/30/20220530093129161sk1us1.pdf。采用人员、数据/集成/安全、设备网络及制造能力视角；强调高阶能力依赖基础。</t>
  </si>
  <si>
    <t>不采用销售、服务、产品设计和企业采购整域；本表0—5评分与该标准五级能力模型不直接等同。</t>
  </si>
  <si>
    <t>S04</t>
  </si>
  <si>
    <t>GB/T 39117—2020 智能制造能力成熟度评估方法</t>
  </si>
  <si>
    <t>国家标准；现行；已检索到修订计划20251258-T-339，未以计划代替现行版</t>
  </si>
  <si>
    <t>已核读评估过程、证据要求、逐项满足度及分级加权方法</t>
  </si>
  <si>
    <t>https://openstd.samr.gov.cn/bzgk/std/newGbInfo?hcno=A5FA7CB1C806E037B64F8A0019C57351</t>
  </si>
  <si>
    <t>正文副本：https://31680321.s21i.faiusr.com/61/ABUIABA9GAAg866HrgYozNHi8AY.pdf。借鉴评估准备、访谈/观察/记录/演示交叉取证、复核及持续改进。</t>
  </si>
  <si>
    <t>标准采用要求满足度1/0.8/0.5/0及分级累计算法，含离散制造参考权重。本表裁剪后另设权重及0—5档，不能宣称按该标准评级。</t>
  </si>
  <si>
    <t>S05</t>
  </si>
  <si>
    <t>GB/T 37393—2019 数字化车间 通用技术要求</t>
  </si>
  <si>
    <t>已核读§6—10主要求及业务集成图；附录示例未转为通用门槛</t>
  </si>
  <si>
    <t>https://openstd.samr.gov.cn/bzgk/std/newGbInfo?hcno=6A3B78048AE1A481B0B606AF96D85457</t>
  </si>
  <si>
    <t>正文政府镜像：https://zjjcmspublic.oss-cn-hangzhou-zwynet-d01-a.internet.cloud.zj.gov.cn/jcms_files/jcms1/web3675/site/attach/0/3e9441059525475884f3659087ae60db.pdf。采用资源识别、数据字典、计划调度、工艺执行、质量、厂内物流及设备要求。</t>
  </si>
  <si>
    <t>§6.1设备数字化率70%和信息自动采集90%属于该标准车间要求，不直接用作通用企业成熟度门槛。§8中的仿真内容按用户范围不进入评分。</t>
  </si>
  <si>
    <t>S06</t>
  </si>
  <si>
    <t>灯塔工厂参考：The Lighthouse Operating System: Driving Responsible Transformation（2025）</t>
  </si>
  <si>
    <t>世界经济论坛；能力框架，不是中国国家认证标准</t>
  </si>
  <si>
    <t>已核读报告能力框架§2.3—2.7及制造现场应用§3.1；经公开正文镜像读取</t>
  </si>
  <si>
    <t>https://www.weforum.org/publications/lighthouse-operating-system-driving-responsible-transformation/</t>
  </si>
  <si>
    <t>官方PDF：https://reports.weforum.org/docs/WEF_The_Lighthouse_Operating_System_2025.pdf；正文镜像：https://www.scribd.com/document/886594983/WEF-the-Lighthouse-Operating-System-2025。提炼稳健流程、厂内透明流动、学习组织、数据和资源效率、能力—用例—KPI联动。</t>
  </si>
  <si>
    <t>外部供应链、客户互动和产品生态设计不纳入；AGV、AI等案例不是所有企业必选项。将能力与实际成效相联，未套用其整套五级评级或个案收益数值。</t>
  </si>
  <si>
    <t>S07</t>
  </si>
  <si>
    <t>Global Lighthouse Network: Rewiring Operations for Resilience and Impact at Scale（2026）</t>
  </si>
  <si>
    <t>世界经济论坛；2026-01-15</t>
  </si>
  <si>
    <t>已读取官方发布摘要；未取得报告全文</t>
  </si>
  <si>
    <t>https://www.weforum.org/publications/global-lighthouse-network-rewiring-operations-for-resilience-and-impact-at-scale/</t>
  </si>
  <si>
    <t>仅用于确认灯塔资料存在2026新发布及韧性/规模化主题，具体指标仍以已读S06正文和制造标准为基础。</t>
  </si>
  <si>
    <t>不根据标题或摘要猜测详细评分、收益目标或必备技术。</t>
  </si>
  <si>
    <t>S08</t>
  </si>
  <si>
    <t>国内灯塔团体标准检索：T/CIET 677—2024 灯塔工厂评价导则</t>
  </si>
  <si>
    <t>已检索到发布目录；用户未指定“建设标准”的具体编号</t>
  </si>
  <si>
    <t>仅核验名称/编号及发布信息；未取得正文，不引用条款</t>
  </si>
  <si>
    <t>https://www.ttbz.org.cn/Home/PdfFileStreamGet/c3RuLDExODEwMw%28eq%29%28eq%29</t>
  </si>
  <si>
    <t>“灯塔工厂建设标准”不是一个足以唯一定位的标准名称。本表明确采用S06可核读能力框架作先进制造参考；本行披露同类团标检索结果。</t>
  </si>
  <si>
    <t>未用该团标生成任何评分档位、阈值或认证结论。若将来需按该团标专项评价，应另行取得全文和确认适用范围。</t>
  </si>
  <si>
    <t>M01</t>
  </si>
  <si>
    <t>本表自定义诊断模型及专业扩展</t>
  </si>
  <si>
    <t>V2.0；2026-10-15</t>
  </si>
  <si>
    <t>10领域84项；分档、权重、关键基础和建议均为本表设计</t>
  </si>
  <si>
    <t>—</t>
  </si>
  <si>
    <t>结合离散制造的批次/序列、路线依赖、替代位号、超欠量、返工、委外交接、接口幂等及恢复验证等可核查场景进行细化。</t>
  </si>
  <si>
    <t>这些场景是对制造管理能力的专业展开，不声称每项业务细节均在来源中逐字规定。所有来源映射均指主题依据而非原文照录。</t>
  </si>
  <si>
    <t>业务范围</t>
  </si>
  <si>
    <t>对应指标</t>
  </si>
  <si>
    <t>依据定位</t>
  </si>
  <si>
    <t>保留/排除与去重说明</t>
  </si>
  <si>
    <t>A01—A08</t>
  </si>
  <si>
    <t>S03 表1；S04 评估过程；S06 §2.5.5</t>
  </si>
  <si>
    <t>保留制造责任、岗位能力、使用、运维、安全与建设资源；排除招聘、薪酬、一般OA。</t>
  </si>
  <si>
    <t>B01—B08</t>
  </si>
  <si>
    <t>S01 工艺设计；S03 表4；S05 §8、§10.3</t>
  </si>
  <si>
    <t>保留制造BOM、路线、ECN、现场文件/程序与量产准备；排除产品设计和仿真。替代组/位号为M01专业细化。</t>
  </si>
  <si>
    <t>C01—C08</t>
  </si>
  <si>
    <t>S01 计划排程；S03 表5；S05 §10.2</t>
  </si>
  <si>
    <t>只评制造需求承接、资源约束、动态调度和委外节点交接；不评营销预测、采购和厂外运输。</t>
  </si>
  <si>
    <t>D01—D10</t>
  </si>
  <si>
    <t>S01 生产管控；S03 表5；S05 §10.3</t>
  </si>
  <si>
    <t>以工单、身份、执行记录、状态和例外闭环为核心；复杂路径、拆合批、超欠量、返工为M01场景细化。</t>
  </si>
  <si>
    <t>E01—E08</t>
  </si>
  <si>
    <t>S01 仓储配送；S03 表5；S05 §10.5</t>
  </si>
  <si>
    <t>覆盖制造仓库、线边和在制；包装换算保留，商务打包采购和MOQ不进入评分。</t>
  </si>
  <si>
    <t>F01—F10</t>
  </si>
  <si>
    <t>S01 质量管控；S05 §10.4</t>
  </si>
  <si>
    <t>保留制造质量计划、检验、原始数据、处置、谱系和影响反查；不延伸到营销/售后服务系统评价。</t>
  </si>
  <si>
    <t>G01—G08</t>
  </si>
  <si>
    <t>S01 设备管理；S03 表5；S05 §10.6</t>
  </si>
  <si>
    <t>资产、状态、维护、维修、工装及效果分别评分；测量校准统一放F04，防止多次计分。</t>
  </si>
  <si>
    <t>H01—H08</t>
  </si>
  <si>
    <t>S01 数字化基础；S03 表3；S05 §6—9</t>
  </si>
  <si>
    <t>区分设备数字化、联网、有效采集与业务应用；不强制5G/机器人/AGV/AI，先验证适配。</t>
  </si>
  <si>
    <t>I01—I08</t>
  </si>
  <si>
    <t>S01 数字化管理/基础；S03 表2；S05 §9、§10.1</t>
  </si>
  <si>
    <t>跨系统边界、接口事务、权限、安全、远程、恢复、性能及可维护性；不以特定软件数量判分。</t>
  </si>
  <si>
    <t>J01—J08</t>
  </si>
  <si>
    <t>S01 成效及能耗；S03 表5能源；S06 §2.5.4、§2.6、§3.1</t>
  </si>
  <si>
    <t>仅制造交付、质量、消耗、资源效率和改善复制；排除企业总账、营销、产品生态设计及碳交易。</t>
  </si>
  <si>
    <t>评分与权重转换</t>
  </si>
  <si>
    <t>全部84项</t>
  </si>
  <si>
    <t>S04方法借鉴；M01自行设计</t>
  </si>
  <si>
    <t>本表按自定义能力档位0—5和裁剪权重加权；S04为标准要求满足度及等级累计，两者不得混称。</t>
  </si>
  <si>
    <t>去重界面</t>
  </si>
  <si>
    <t>B04/D06、B06/D02、F06/D08、G08/J01</t>
  </si>
  <si>
    <t>按定义与执行、授权与处置、指标与治理分开</t>
  </si>
  <si>
    <t>工程项评定义和发布，执行项评现场遵守；质量项评处置授权，执行项评返工履历；领域绩效评具体损失，J01只评口径及可信度。同一证据可关联，不可把同一结果重复当成不同能力。</t>
  </si>
  <si>
    <t>本次企业事实依据与使用限制（E01—E19）</t>
  </si>
  <si>
    <t>S01—S08/M01为模型参考，E01—E19为企业事实来源。既有非质量评分沿用用户修订；本轮读取2026-10-20质量纪要及文字记录补评质量，未新增现场抽样。需求和示例不作为已实现能力。</t>
  </si>
  <si>
    <t>事实来源编号</t>
  </si>
  <si>
    <t>资料</t>
  </si>
  <si>
    <t>时点/性质</t>
  </si>
  <si>
    <t>本次使用程度</t>
  </si>
  <si>
    <t>原始链接/本地原件</t>
  </si>
  <si>
    <t>事实采用与定位</t>
  </si>
  <si>
    <t>限制及不采用内容</t>
  </si>
  <si>
    <t>MOM调研访谈记录_模板V2.1（实填工作簿）</t>
  </si>
  <si>
    <t>原始访谈记录；本次核对实际文件</t>
  </si>
  <si>
    <t>主表只采用非todo的已确认答复；计划/研发/总结页作交叉核对</t>
  </si>
  <si>
    <t>/Users/ze-th8-ar87/Desktop/ZeroErrMES/outputs/mom_survey_20260920_v21/01_MOM调研访谈记录_模板V2.1.xlsx</t>
  </si>
  <si>
    <t>逐行引用工作表/单元格/问题编号；本次已核对与先前提取稿无差异。</t>
  </si>
  <si>
    <t>主表受访人和日期多数为空，不补造；“已确认”是原记录状态，不是本次企业评分签认。</t>
  </si>
  <si>
    <t>柳钦概要总结调研纪要.rtf</t>
  </si>
  <si>
    <t>用户自行提炼纪要；原件日期未载明</t>
  </si>
  <si>
    <t>已重新读取原RTF；对应工作簿总结页可核对</t>
  </si>
  <si>
    <t>/Users/ze-th8-ar87/Desktop/ZeroErrMES/outputs/mom_research_report_20261013/柳钦概要总结调研纪要.rtf</t>
  </si>
  <si>
    <t>第一部分事实问题可用；第二部分需求只作建设方向；问号、TODO和思考不作确定事实。</t>
  </si>
  <si>
    <t>不从“技能欠缺/数据孤岛”等概述推算人数、覆盖率、失败率或收益。</t>
  </si>
  <si>
    <t>生产排产与ERP系统建设调研</t>
  </si>
  <si>
    <t>2026-09-23；原会议纪要及已存文字</t>
  </si>
  <si>
    <t>本次已核读正文；原录音章节用于定位</t>
  </si>
  <si>
    <t>https://fcnpndc2ochr.feishu.cn/docx/MZ4AdKFUZoNLNZxhEffcsyGXnDc</t>
  </si>
  <si>
    <t>归档：mom_research_report_20261013/sources_feishu_20261013/S02_计划调研.md；原始文字见E14。</t>
  </si>
  <si>
    <t>MPS/MRP测试、上线方向与现行运行分开；产能/月目标和批量口述不作经测量基准。</t>
  </si>
  <si>
    <t>系统物料及变更相关情况调研</t>
  </si>
  <si>
    <t>2026-09-28；录音启用较晚</t>
  </si>
  <si>
    <t>本次已核读正文；部分开头信息缺失</t>
  </si>
  <si>
    <t>https://fcnpndc2ochr.feishu.cn/docx/CkhSdFukOoewPJxK9qgcrMz5nwd</t>
  </si>
  <si>
    <t>归档：S03_研发物料变更.md。采用批次/SN及ECN人工修改等明确现状。</t>
  </si>
  <si>
    <t>编码正式文件等待办未当作已取得；文控全覆盖等初步判断需后续访谈补正。</t>
  </si>
  <si>
    <t>MES系统建设相关需求调研</t>
  </si>
  <si>
    <t>2026-09-29</t>
  </si>
  <si>
    <t>本次已核读研发产测正文</t>
  </si>
  <si>
    <t>https://fcnpndc2ochr.feishu.cn/docx/Iqngd2MZRoRrVFx7uoKc1Z3Qnie</t>
  </si>
  <si>
    <t>归档：S04_研发补充需求.md。采用软件版本、局部自动测试、分散存储及查询现状。</t>
  </si>
  <si>
    <t>需求、未来日期与方案不当作现状；单个测试软件不代表整个质量部门。</t>
  </si>
  <si>
    <t>MES系统生产相关需求调研</t>
  </si>
  <si>
    <t>2026-10-10</t>
  </si>
  <si>
    <t>本次已核读生产/人员正文</t>
  </si>
  <si>
    <t>https://fcnpndc2ochr.feishu.cn/docx/URdedNRadoBxwSxQtQHcwZg3nAf</t>
  </si>
  <si>
    <t>归档：S05_人员生产需求.md；原始文字见E15。</t>
  </si>
  <si>
    <t>考核和发证是现状；系统资质互锁和一周计划查看是需求，不冒充已实现。</t>
  </si>
  <si>
    <t>研发生产对接流程及MES相关事项调研</t>
  </si>
  <si>
    <t>本次已核读NPI、文控、设备正文</t>
  </si>
  <si>
    <t>https://fcnpndc2ochr.feishu.cn/docx/PxF5duNdvot7kKxl08jc2xf0nAc</t>
  </si>
  <si>
    <t>归档：S06_NPI文控设备.md；原始文字见E16。</t>
  </si>
  <si>
    <t>区分现有文控/局部保养/自行校准与拟建数据权限、自动不良、电子SOP关联。</t>
  </si>
  <si>
    <t>仓库管理相关情况调研（补充纪要）</t>
  </si>
  <si>
    <t>2026-09-30</t>
  </si>
  <si>
    <t>本次已核读正文；用原文字修正有歧义摘要</t>
  </si>
  <si>
    <t>https://fcnpndc2ochr.feishu.cn/docx/FDo3d2tYNoXGFDxFKbicQRIVnPe</t>
  </si>
  <si>
    <t>归档：S10_补充调研纪要.md；检验单据等以E17明确答复为准。</t>
  </si>
  <si>
    <t>不采用“全物料全检”“上万有效SKU”“10—20周”等未经澄清概括；口述数量不作财务基线。</t>
  </si>
  <si>
    <t>E09</t>
  </si>
  <si>
    <t>机器人关节企业MOM建设调研报告_V2.0</t>
  </si>
  <si>
    <t>2026-10-14；既有分析报告</t>
  </si>
  <si>
    <t>本次用于核对归纳、范围与未确认边界</t>
  </si>
  <si>
    <t>/Users/ze-th8-ar87/Desktop/ZeroErrMES/outputs/mom_research_report_20261014_v2_0/机器人关节企业MOM建设调研报告_V2.0.docx</t>
  </si>
  <si>
    <t>与原记录互校；事实评分须追溯E01/E02/部门纪要。</t>
  </si>
  <si>
    <t>报告中的专家判断、需求、验收建议和建设方案不是新的事实或独立确认。</t>
  </si>
  <si>
    <t>E10</t>
  </si>
  <si>
    <t>MOM调研待确认与补充事项_V2.0</t>
  </si>
  <si>
    <t>2026-10-14；配套待确认清单</t>
  </si>
  <si>
    <t>用于识别质量未访谈、样本/范围/日期等缺项</t>
  </si>
  <si>
    <t>/Users/ze-th8-ar87/Desktop/ZeroErrMES/outputs/mom_research_report_20261014_v2_0/MOM调研待确认与补充事项_V2.0.docx</t>
  </si>
  <si>
    <t>对应C01—C28条目保留缺口；未发现新增答复。</t>
  </si>
  <si>
    <t>清单中的建议责任方不填成本次受访人、复核人或批准人。</t>
  </si>
  <si>
    <t>E11</t>
  </si>
  <si>
    <t>厂商调研报告1（华磊迅拓）</t>
  </si>
  <si>
    <t>2026-03-25；历史现状</t>
  </si>
  <si>
    <t>仅作历史交叉线索；不单独支撑本次数值</t>
  </si>
  <si>
    <t>https://fcnpndc2ochr.feishu.cn/wiki/VFUCwEAzoiuUfqkNKaHcKTs8nZe</t>
  </si>
  <si>
    <t>归档：S07_厂商调研1.pdf。旧MES、人工流转和测试记录的历史背景。</t>
  </si>
  <si>
    <t>历史小车10台及旧集成状态不覆盖9—10月现状；厂商方案不计入能力。</t>
  </si>
  <si>
    <t>E12</t>
  </si>
  <si>
    <t>厂商调研报告2（鼎捷）</t>
  </si>
  <si>
    <t>2026-05；历史现状及方案</t>
  </si>
  <si>
    <t>仅作历史范围校核；不单独支撑本次数值</t>
  </si>
  <si>
    <t>https://fcnpndc2ochr.feishu.cn/wiki/GyKbwUnGdi06BikV7KbcuElrnvc</t>
  </si>
  <si>
    <t>归档：S08_厂商调研2.pdf。只辨识现状背景，不采用方案功能。</t>
  </si>
  <si>
    <t>目标质量、条码、自动化和仓储模块不当作现有能力或批准范围。</t>
  </si>
  <si>
    <t>E13</t>
  </si>
  <si>
    <t>厂商调研报告3（雨阳SOW）</t>
  </si>
  <si>
    <t>2026-04；历史项目方案</t>
  </si>
  <si>
    <t>仅作历史线索；不以项目SOW视为已实施</t>
  </si>
  <si>
    <t>https://fcnpndc2ochr.feishu.cn/wiki/W7n6wAuqAi3pHDkGHbncRANNnVd</t>
  </si>
  <si>
    <t>归档：S09_厂商调研3.docx。用于区分方案和后来访谈现状。</t>
  </si>
  <si>
    <t>厂商平台选型、40工序点位、并行等方案陈述不作为当前确认事实。</t>
  </si>
  <si>
    <t>E14</t>
  </si>
  <si>
    <t>计划原始文字记录</t>
  </si>
  <si>
    <t>2026-09-23</t>
  </si>
  <si>
    <t>既有归档文字记录，供回溯</t>
  </si>
  <si>
    <t>https://fcnpndc2ochr.feishu.cn/docx/CiW8dkny0onQt8xBecYc1PCQnHc</t>
  </si>
  <si>
    <t>归档：S02T_计划文字记录.md；按说话人时间戳定位。</t>
  </si>
  <si>
    <t>智能纪要与原话有矛盾时保留限制，不把假设例子视为统计实绩。</t>
  </si>
  <si>
    <t>E15</t>
  </si>
  <si>
    <t>生产原始文字记录</t>
  </si>
  <si>
    <t>用于确认长班/任务交接口径</t>
  </si>
  <si>
    <t>https://fcnpndc2ochr.feishu.cn/docx/IpGvdXACqoObCKx2nTOcCMU0nGf</t>
  </si>
  <si>
    <t>归档：S05T_生产文字记录.md；15:20附近明确无白夜班日常交接。</t>
  </si>
  <si>
    <t>无夜班不表示任务交接不适用。</t>
  </si>
  <si>
    <t>E16</t>
  </si>
  <si>
    <t>NPI原始文字记录</t>
  </si>
  <si>
    <t>用于核对50:30私下返修/SN错配案例</t>
  </si>
  <si>
    <t>https://fcnpndc2ochr.feishu.cn/docx/UX7vd01TxoroKPxqHctcS0pYn2f</t>
  </si>
  <si>
    <t>归档：S06T_NPI文字记录.md。保留案例与未来自动提报方案的区别。</t>
  </si>
  <si>
    <t>不因提出自动不良方案认定现有系统已自动拦截。</t>
  </si>
  <si>
    <t>E17</t>
  </si>
  <si>
    <t>仓库原始文字记录</t>
  </si>
  <si>
    <t>已核对收货/检验单矛盾；其余按对应时间回溯</t>
  </si>
  <si>
    <t>https://fcnpndc2ochr.feishu.cn/docx/E4f2dGXiOoHtonxBI62cxfa1ngn</t>
  </si>
  <si>
    <t>归档：S10T_仓库文字记录.md；00:01:33—00:02:19明确ERP检验及OA接收判定。</t>
  </si>
  <si>
    <t>不采用摘要“无检验单”的说法；盘点期间、称重及批量不混为一个对象。</t>
  </si>
  <si>
    <t>E18</t>
  </si>
  <si>
    <t>质量调研智能纪要</t>
  </si>
  <si>
    <t>2026-10-20</t>
  </si>
  <si>
    <t>新增访谈摘要，已对照关联文字记录</t>
  </si>
  <si>
    <t>https://fcnpndc2ochr.feishu.cn/docx/Mpi4dHD6KoxTgGxQ93RcdT3SnHe</t>
  </si>
  <si>
    <t>质检相关工作流程调研访谈；纪要修订号5。评分事实以E19原始文字记录的实际语境核对。</t>
  </si>
  <si>
    <t>不采用“全部关键尺寸全检”等概括；8D已有飞书审批加线下签字，电子签为建议；ISO体系及客户特殊标准不外推为认证结论。</t>
  </si>
  <si>
    <t>E19</t>
  </si>
  <si>
    <t>质量调研原始文字记录</t>
  </si>
  <si>
    <t>本轮质量事实及判分的主要依据</t>
  </si>
  <si>
    <t>https://fcnpndc2ochr.feishu.cn/docx/GBhHdPw0do4VSSxpA3ac8kFOnmc</t>
  </si>
  <si>
    <t>修订号6。00:00—00:05规范；00:25—00:32记录/审批；00:35—00:37合检；00:42—00:56抽样/校准/处置；01:06—01:30批次/追溯/8D/SPC。</t>
  </si>
  <si>
    <t>访谈陈述未替代现场抽样。网络/U盘与既有局部上传存在范围差异，须按工位核验；库存冻结不等于产成品反查清单；未开展SPC不等于所有统计方法均无。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</si>
</sst>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0.0%"/>
  </numFmts>
  <fonts count="26">
    <font>
      <sz val="11"/>
      <name val="Carlito"/>
      <charset val="134"/>
    </font>
    <font>
      <b/>
      <sz val="18"/>
      <color rgb="FFFFFFFF"/>
      <name val="Arial"/>
      <charset val="134"/>
    </font>
    <font>
      <sz val="11"/>
      <color rgb="FF24344A"/>
      <name val="Arial"/>
      <charset val="134"/>
    </font>
    <font>
      <b/>
      <sz val="11"/>
      <color rgb="FFFFFFFF"/>
      <name val="Arial"/>
      <charset val="134"/>
    </font>
    <font>
      <b/>
      <sz val="14"/>
      <color rgb="FF243F60"/>
      <name val="Arial"/>
      <charset val="134"/>
    </font>
    <font>
      <sz val="11"/>
      <color rgb="FFFFFFFF"/>
      <name val="Arial"/>
      <charset val="134"/>
    </font>
    <font>
      <sz val="11"/>
      <color rgb="FF24344A"/>
      <name val="宋体-简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rgb="FFFFFFFF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243F60"/>
        <bgColor indexed="64"/>
      </patternFill>
    </fill>
    <fill>
      <patternFill patternType="solid">
        <fgColor rgb="FFEAF0F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8" borderId="4" applyNumberFormat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49"/>
    <xf numFmtId="0" fontId="1" fillId="2" borderId="0" xfId="49" applyNumberFormat="1" applyFont="1" applyFill="1" applyBorder="1" applyAlignment="1">
      <alignment vertical="top" wrapText="1"/>
    </xf>
    <xf numFmtId="0" fontId="2" fillId="3" borderId="0" xfId="49" applyNumberFormat="1" applyFont="1" applyFill="1" applyBorder="1" applyAlignment="1">
      <alignment vertical="top" wrapText="1"/>
    </xf>
    <xf numFmtId="0" fontId="2" fillId="0" borderId="0" xfId="49" applyNumberFormat="1" applyFont="1" applyFill="1" applyBorder="1" applyAlignment="1">
      <alignment vertical="top" wrapText="1"/>
    </xf>
    <xf numFmtId="0" fontId="3" fillId="2" borderId="0" xfId="49" applyNumberFormat="1" applyFont="1" applyFill="1" applyBorder="1" applyAlignment="1">
      <alignment vertical="top" wrapText="1"/>
    </xf>
    <xf numFmtId="0" fontId="3" fillId="2" borderId="0" xfId="49" applyNumberFormat="1" applyFont="1" applyFill="1" applyBorder="1"/>
    <xf numFmtId="0" fontId="2" fillId="0" borderId="0" xfId="49" applyNumberFormat="1" applyFont="1" applyFill="1" applyBorder="1" applyAlignment="1">
      <alignment vertical="center" wrapText="1"/>
    </xf>
    <xf numFmtId="0" fontId="4" fillId="0" borderId="0" xfId="49" applyNumberFormat="1" applyFont="1" applyFill="1" applyBorder="1"/>
    <xf numFmtId="0" fontId="2" fillId="0" borderId="0" xfId="49" applyNumberFormat="1" applyFont="1" applyFill="1" applyBorder="1" applyAlignment="1">
      <alignment wrapText="1"/>
    </xf>
    <xf numFmtId="0" fontId="2" fillId="4" borderId="0" xfId="49" applyNumberFormat="1" applyFont="1" applyFill="1" applyBorder="1" applyAlignment="1">
      <alignment vertical="top" wrapText="1"/>
    </xf>
    <xf numFmtId="0" fontId="2" fillId="5" borderId="0" xfId="49" applyNumberFormat="1" applyFont="1" applyFill="1" applyBorder="1" applyAlignment="1">
      <alignment vertical="top" wrapText="1"/>
    </xf>
    <xf numFmtId="176" fontId="2" fillId="5" borderId="0" xfId="49" applyNumberFormat="1" applyFont="1" applyFill="1" applyBorder="1" applyAlignment="1">
      <alignment vertical="top" wrapText="1"/>
    </xf>
    <xf numFmtId="0" fontId="3" fillId="2" borderId="0" xfId="49" applyNumberFormat="1" applyFont="1" applyFill="1" applyBorder="1" applyAlignment="1">
      <alignment wrapText="1"/>
    </xf>
    <xf numFmtId="177" fontId="2" fillId="4" borderId="0" xfId="49" applyNumberFormat="1" applyFont="1" applyFill="1" applyBorder="1" applyAlignment="1">
      <alignment vertical="top" wrapText="1"/>
    </xf>
    <xf numFmtId="178" fontId="2" fillId="4" borderId="0" xfId="49" applyNumberFormat="1" applyFont="1" applyFill="1" applyBorder="1" applyAlignment="1">
      <alignment vertical="top" wrapText="1"/>
    </xf>
    <xf numFmtId="0" fontId="3" fillId="2" borderId="0" xfId="49" applyNumberFormat="1" applyFont="1" applyFill="1" applyBorder="1" applyAlignment="1">
      <alignment vertical="center"/>
    </xf>
    <xf numFmtId="0" fontId="5" fillId="0" borderId="0" xfId="49" applyNumberFormat="1" applyFont="1" applyFill="1" applyBorder="1" applyAlignment="1">
      <alignment vertical="center"/>
    </xf>
    <xf numFmtId="0" fontId="2" fillId="0" borderId="0" xfId="49" applyNumberFormat="1" applyFont="1" applyFill="1" applyBorder="1" applyAlignment="1">
      <alignment vertical="center"/>
    </xf>
    <xf numFmtId="178" fontId="2" fillId="4" borderId="0" xfId="49" applyNumberFormat="1" applyFont="1" applyFill="1" applyBorder="1" applyAlignment="1">
      <alignment vertical="center"/>
    </xf>
    <xf numFmtId="177" fontId="2" fillId="4" borderId="0" xfId="49" applyNumberFormat="1" applyFont="1" applyFill="1" applyBorder="1" applyAlignment="1">
      <alignment vertical="center"/>
    </xf>
    <xf numFmtId="0" fontId="2" fillId="4" borderId="0" xfId="49" applyNumberFormat="1" applyFont="1" applyFill="1" applyBorder="1" applyAlignment="1">
      <alignment vertical="center"/>
    </xf>
    <xf numFmtId="2" fontId="2" fillId="4" borderId="0" xfId="49" applyNumberFormat="1" applyFont="1" applyFill="1" applyBorder="1" applyAlignment="1">
      <alignment vertical="center"/>
    </xf>
    <xf numFmtId="2" fontId="2" fillId="4" borderId="0" xfId="49" applyNumberFormat="1" applyFont="1" applyFill="1" applyBorder="1" applyAlignment="1">
      <alignment vertical="center" wrapText="1"/>
    </xf>
    <xf numFmtId="0" fontId="2" fillId="4" borderId="0" xfId="49" applyNumberFormat="1" applyFont="1" applyFill="1" applyBorder="1" applyAlignment="1">
      <alignment vertical="center" wrapText="1"/>
    </xf>
    <xf numFmtId="2" fontId="2" fillId="4" borderId="0" xfId="49" applyNumberFormat="1" applyFont="1" applyFill="1" applyBorder="1" applyAlignment="1">
      <alignment vertical="top" wrapText="1"/>
    </xf>
    <xf numFmtId="0" fontId="6" fillId="5" borderId="0" xfId="49" applyNumberFormat="1" applyFont="1" applyFill="1" applyBorder="1" applyAlignment="1">
      <alignment vertical="top" wrapText="1"/>
    </xf>
    <xf numFmtId="1" fontId="2" fillId="4" borderId="0" xfId="49" applyNumberFormat="1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9">
    <dxf>
      <fill>
        <patternFill patternType="solid">
          <bgColor rgb="FFF4CCCC"/>
        </patternFill>
      </fill>
    </dxf>
    <dxf>
      <fill>
        <patternFill patternType="solid">
          <bgColor rgb="FFE2F0D9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Data1" displayName="Data1" ref="A5:B22" totalsRowShown="0">
  <tableColumns count="2">
    <tableColumn id="1" name="项目"/>
    <tableColumn id="2" name="规则与填写要求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Data2" displayName="Data2" ref="A5:C26" totalsRowShown="0">
  <tableColumns count="3">
    <tableColumn id="1" name="参数"/>
    <tableColumn id="2" name="值"/>
    <tableColumn id="3" name="说明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Data3" displayName="Data3" ref="A5:O89" totalsRowShown="0">
  <tableColumns count="15">
    <tableColumn id="1" name="编号"/>
    <tableColumn id="2" name="业务领域"/>
    <tableColumn id="3" name="诊断指标"/>
    <tableColumn id="4" name="适用边界/说明"/>
    <tableColumn id="5" name="0分：控制缺失"/>
    <tableColumn id="6" name="1分：零散做法"/>
    <tableColumn id="7" name="2分：局部规范"/>
    <tableColumn id="8" name="3分：受控协同"/>
    <tableColumn id="9" name="4分：量化改善"/>
    <tableColumn id="10" name="5分：保持与复用"/>
    <tableColumn id="11" name="建议核查证据"/>
    <tableColumn id="12" name="关键基础"/>
    <tableColumn id="13" name="依据定位（主题映射）"/>
    <tableColumn id="14" name="建设动作建议"/>
    <tableColumn id="15" name="建议依赖阶段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9" name="Data4" displayName="Data4" ref="A5:X89" totalsRowShown="0">
  <autoFilter xmlns:etc="http://www.wps.cn/officeDocument/2017/etCustomData" ref="A5:X89" etc:filterBottomFollowUsedRange="0"/>
  <tableColumns count="24">
    <tableColumn id="1" name="编号"/>
    <tableColumn id="2" name="业务领域"/>
    <tableColumn id="3" name="诊断指标"/>
    <tableColumn id="4" name="原始权重"/>
    <tableColumn id="5" name="关键基础"/>
    <tableColumn id="6" name="适用性"/>
    <tableColumn id="7" name="资料诊断/复核分"/>
    <tableColumn id="8" name="阶段目标0—5"/>
    <tableColumn id="9" name="业务影响"/>
    <tableColumn id="10" name="事实与证据位置"/>
    <tableColumn id="11" name="不适用理由/证据"/>
    <tableColumn id="12" name="评估人/诊断方式"/>
    <tableColumn id="13" name="资料/复核评估日期"/>
    <tableColumn id="14" name="企业复核人"/>
    <tableColumn id="15" name="本次状态"/>
    <tableColumn id="16" name="计分状态"/>
    <tableColumn id="17" name="已评分权重"/>
    <tableColumn id="18" name="得分贡献"/>
    <tableColumn id="19" name="目标差距"/>
    <tableColumn id="20" name="建设优先建议"/>
    <tableColumn id="21" name="样本量/覆盖/期间"/>
    <tableColumn id="22" name="企业复核日期"/>
    <tableColumn id="23" name="规划信息状态"/>
    <tableColumn id="24" name="判分说明/未赋分原因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0" name="Data5" displayName="Data5" ref="A5:M15" totalsRowShown="0">
  <tableColumns count="13">
    <tableColumn id="1" name="业务领域"/>
    <tableColumn id="2" name="原始权重"/>
    <tableColumn id="3" name="已判定项数"/>
    <tableColumn id="4" name="已排除数"/>
    <tableColumn id="5" name="未赋分数"/>
    <tableColumn id="6" name="适用权重"/>
    <tableColumn id="7" name="已评分权重"/>
    <tableColumn id="8" name="得分贡献"/>
    <tableColumn id="9" name="已判定部分参考分"/>
    <tableColumn id="10" name="领域复核状态"/>
    <tableColumn id="11" name="关键基础&lt;3项"/>
    <tableColumn id="12" name="资料判定覆盖率"/>
    <tableColumn id="13" name="领域诊断与限制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Data6" displayName="Data6" ref="A5:R89" totalsRowShown="0">
  <tableColumns count="18">
    <tableColumn id="1" name="编号"/>
    <tableColumn id="2" name="业务领域"/>
    <tableColumn id="3" name="能力项"/>
    <tableColumn id="4" name="当前分"/>
    <tableColumn id="5" name="阶段目标"/>
    <tableColumn id="6" name="差距"/>
    <tableColumn id="7" name="优先建议"/>
    <tableColumn id="8" name="功能模块/能力包"/>
    <tableColumn id="9" name="建设动作建议"/>
    <tableColumn id="10" name="前置条件/依赖"/>
    <tableColumn id="11" name="本企业实施范围及动作"/>
    <tableColumn id="12" name="验收标准/取证方法"/>
    <tableColumn id="13" name="责任人"/>
    <tableColumn id="14" name="计划开始日期"/>
    <tableColumn id="15" name="计划完成日期"/>
    <tableColumn id="16" name="资源/投入估计"/>
    <tableColumn id="17" name="实施阶段"/>
    <tableColumn id="18" name="跟进状态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Data7" displayName="Data7" ref="A5:E13" totalsRowShown="0">
  <tableColumns count="5">
    <tableColumn id="1" name="场景"/>
    <tableColumn id="2" name="示例事实/进入条件"/>
    <tableColumn id="3" name="判分或能力包"/>
    <tableColumn id="4" name="目标/分期与建设动作"/>
    <tableColumn id="5" name="验收举例/边界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Data8" displayName="Data8" ref="A5:G14" totalsRowShown="0">
  <tableColumns count="7">
    <tableColumn id="1" name="编号"/>
    <tableColumn id="2" name="资料名称"/>
    <tableColumn id="3" name="版本/状态"/>
    <tableColumn id="4" name="实际读取程度"/>
    <tableColumn id="5" name="原始/官方地址"/>
    <tableColumn id="6" name="采用内容与正文入口"/>
    <tableColumn id="7" name="排除、限制与转换说明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1" name="BusinessEvidence" displayName="BusinessEvidence" ref="A34:G53" totalsRowShown="0">
  <tableColumns count="7">
    <tableColumn id="1" name="事实来源编号"/>
    <tableColumn id="2" name="资料"/>
    <tableColumn id="3" name="时点/性质"/>
    <tableColumn id="4" name="本次使用程度"/>
    <tableColumn id="5" name="原始链接/本地原件"/>
    <tableColumn id="6" name="事实采用与定位"/>
    <tableColumn id="7" name="限制及不采用内容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showGridLines="0" workbookViewId="0">
      <pane ySplit="5" topLeftCell="A19" activePane="bottomLeft" state="frozen"/>
      <selection/>
      <selection pane="bottomLeft" activeCell="B8" sqref="B8"/>
    </sheetView>
  </sheetViews>
  <sheetFormatPr defaultColWidth="9" defaultRowHeight="16.8" outlineLevelCol="1"/>
  <cols>
    <col min="1" max="1" width="27" customWidth="1"/>
    <col min="2" max="2" width="122" customWidth="1"/>
  </cols>
  <sheetData>
    <row r="1" ht="38" customHeight="1" spans="1:2">
      <c r="A1" s="1" t="s">
        <v>0</v>
      </c>
      <c r="B1" s="1"/>
    </row>
    <row r="2" ht="23" customHeight="1" spans="1:2">
      <c r="A2" s="2" t="s">
        <v>1</v>
      </c>
      <c r="B2" s="2"/>
    </row>
    <row r="3" ht="23" customHeight="1" spans="1:2">
      <c r="A3" s="2"/>
      <c r="B3" s="2"/>
    </row>
    <row r="4" spans="1:2">
      <c r="A4" s="3"/>
      <c r="B4" s="3"/>
    </row>
    <row r="5" ht="42" customHeight="1" spans="1:2">
      <c r="A5" s="4" t="s">
        <v>2</v>
      </c>
      <c r="B5" s="4" t="s">
        <v>3</v>
      </c>
    </row>
    <row r="6" ht="84" customHeight="1" spans="1:2">
      <c r="A6" s="3" t="s">
        <v>4</v>
      </c>
      <c r="B6" s="3" t="s">
        <v>5</v>
      </c>
    </row>
    <row r="7" ht="84" customHeight="1" spans="1:2">
      <c r="A7" s="3" t="s">
        <v>6</v>
      </c>
      <c r="B7" s="3" t="s">
        <v>7</v>
      </c>
    </row>
    <row r="8" ht="84" customHeight="1" spans="1:2">
      <c r="A8" s="3" t="s">
        <v>8</v>
      </c>
      <c r="B8" s="3" t="s">
        <v>9</v>
      </c>
    </row>
    <row r="9" ht="84" customHeight="1" spans="1:2">
      <c r="A9" s="3" t="s">
        <v>10</v>
      </c>
      <c r="B9" s="3" t="s">
        <v>11</v>
      </c>
    </row>
    <row r="10" ht="84" customHeight="1" spans="1:2">
      <c r="A10" s="3" t="s">
        <v>12</v>
      </c>
      <c r="B10" s="3" t="s">
        <v>13</v>
      </c>
    </row>
    <row r="11" ht="84" customHeight="1" spans="1:2">
      <c r="A11" s="3" t="s">
        <v>14</v>
      </c>
      <c r="B11" s="3" t="s">
        <v>15</v>
      </c>
    </row>
    <row r="12" ht="84" customHeight="1" spans="1:2">
      <c r="A12" s="3" t="s">
        <v>16</v>
      </c>
      <c r="B12" s="3" t="s">
        <v>17</v>
      </c>
    </row>
    <row r="13" ht="84" customHeight="1" spans="1:2">
      <c r="A13" s="3" t="s">
        <v>18</v>
      </c>
      <c r="B13" s="3" t="s">
        <v>19</v>
      </c>
    </row>
    <row r="14" ht="84" customHeight="1" spans="1:2">
      <c r="A14" s="3" t="s">
        <v>20</v>
      </c>
      <c r="B14" s="3" t="s">
        <v>21</v>
      </c>
    </row>
    <row r="15" ht="84" customHeight="1" spans="1:2">
      <c r="A15" s="3" t="s">
        <v>22</v>
      </c>
      <c r="B15" s="3" t="s">
        <v>23</v>
      </c>
    </row>
    <row r="16" ht="84" customHeight="1" spans="1:2">
      <c r="A16" s="3" t="s">
        <v>24</v>
      </c>
      <c r="B16" s="3" t="s">
        <v>25</v>
      </c>
    </row>
    <row r="17" ht="84" customHeight="1" spans="1:2">
      <c r="A17" s="3" t="s">
        <v>26</v>
      </c>
      <c r="B17" s="3" t="s">
        <v>27</v>
      </c>
    </row>
    <row r="18" ht="84" customHeight="1" spans="1:2">
      <c r="A18" s="3" t="s">
        <v>28</v>
      </c>
      <c r="B18" s="3" t="s">
        <v>29</v>
      </c>
    </row>
    <row r="19" ht="84" customHeight="1" spans="1:2">
      <c r="A19" s="3" t="s">
        <v>30</v>
      </c>
      <c r="B19" s="3" t="s">
        <v>31</v>
      </c>
    </row>
    <row r="20" ht="84" customHeight="1" spans="1:2">
      <c r="A20" s="3" t="s">
        <v>32</v>
      </c>
      <c r="B20" s="3" t="s">
        <v>33</v>
      </c>
    </row>
    <row r="21" ht="84" customHeight="1" spans="1:2">
      <c r="A21" s="3" t="s">
        <v>34</v>
      </c>
      <c r="B21" s="3" t="s">
        <v>35</v>
      </c>
    </row>
    <row r="22" ht="125" customHeight="1" spans="1:2">
      <c r="A22" s="3" t="s">
        <v>36</v>
      </c>
      <c r="B22" s="3" t="s">
        <v>37</v>
      </c>
    </row>
  </sheetData>
  <mergeCells count="2">
    <mergeCell ref="A1:B1"/>
    <mergeCell ref="A2:B3"/>
  </mergeCells>
  <pageMargins left="0.7" right="0.7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GridLines="0" workbookViewId="0">
      <pane ySplit="5" topLeftCell="A17" activePane="bottomLeft" state="frozen"/>
      <selection/>
      <selection pane="bottomLeft" activeCell="B25" sqref="B25"/>
    </sheetView>
  </sheetViews>
  <sheetFormatPr defaultColWidth="9" defaultRowHeight="16.8" outlineLevelCol="2"/>
  <cols>
    <col min="1" max="1" width="29" customWidth="1"/>
    <col min="2" max="2" width="55" customWidth="1"/>
    <col min="3" max="3" width="75" customWidth="1"/>
  </cols>
  <sheetData>
    <row r="1" ht="38" customHeight="1" spans="1:3">
      <c r="A1" s="1" t="s">
        <v>38</v>
      </c>
      <c r="B1" s="1"/>
      <c r="C1" s="1"/>
    </row>
    <row r="2" ht="23" customHeight="1" spans="1:3">
      <c r="A2" s="2" t="s">
        <v>39</v>
      </c>
      <c r="B2" s="2"/>
      <c r="C2" s="2"/>
    </row>
    <row r="3" ht="23" customHeight="1" spans="1:3">
      <c r="A3" s="2"/>
      <c r="B3" s="2"/>
      <c r="C3" s="2"/>
    </row>
    <row r="4" spans="1:3">
      <c r="A4" s="3"/>
      <c r="B4" s="3"/>
      <c r="C4" s="3"/>
    </row>
    <row r="5" ht="42" customHeight="1" spans="1:3">
      <c r="A5" s="4" t="s">
        <v>40</v>
      </c>
      <c r="B5" s="4" t="s">
        <v>41</v>
      </c>
      <c r="C5" s="4" t="s">
        <v>42</v>
      </c>
    </row>
    <row r="6" ht="65" customHeight="1" spans="1:3">
      <c r="A6" s="3" t="s">
        <v>43</v>
      </c>
      <c r="B6" s="25" t="s">
        <v>44</v>
      </c>
      <c r="C6" s="3" t="s">
        <v>45</v>
      </c>
    </row>
    <row r="7" ht="65" customHeight="1" spans="1:3">
      <c r="A7" s="3" t="s">
        <v>46</v>
      </c>
      <c r="B7" s="25" t="s">
        <v>47</v>
      </c>
      <c r="C7" s="3" t="s">
        <v>48</v>
      </c>
    </row>
    <row r="8" ht="65" customHeight="1" spans="1:3">
      <c r="A8" s="3" t="s">
        <v>49</v>
      </c>
      <c r="B8" s="10" t="s">
        <v>50</v>
      </c>
      <c r="C8" s="3" t="s">
        <v>51</v>
      </c>
    </row>
    <row r="9" ht="65" customHeight="1" spans="1:3">
      <c r="A9" s="3" t="s">
        <v>52</v>
      </c>
      <c r="B9" s="10" t="s">
        <v>53</v>
      </c>
      <c r="C9" s="3" t="s">
        <v>54</v>
      </c>
    </row>
    <row r="10" ht="65" customHeight="1" spans="1:3">
      <c r="A10" s="3" t="s">
        <v>55</v>
      </c>
      <c r="B10" s="11">
        <v>46315</v>
      </c>
      <c r="C10" s="3" t="s">
        <v>56</v>
      </c>
    </row>
    <row r="11" ht="65" customHeight="1" spans="1:3">
      <c r="A11" s="3" t="s">
        <v>57</v>
      </c>
      <c r="B11" s="10" t="s">
        <v>58</v>
      </c>
      <c r="C11" s="3" t="s">
        <v>59</v>
      </c>
    </row>
    <row r="12" ht="65" customHeight="1" spans="1:3">
      <c r="A12" s="3" t="s">
        <v>60</v>
      </c>
      <c r="B12" s="25" t="s">
        <v>61</v>
      </c>
      <c r="C12" s="3" t="s">
        <v>59</v>
      </c>
    </row>
    <row r="13" ht="43" customHeight="1" spans="1:3">
      <c r="A13" s="3" t="s">
        <v>62</v>
      </c>
      <c r="B13" s="9">
        <f>SUM(B14:B23)</f>
        <v>100</v>
      </c>
      <c r="C13" s="3" t="s">
        <v>63</v>
      </c>
    </row>
    <row r="14" ht="43" customHeight="1" spans="1:3">
      <c r="A14" s="3" t="s">
        <v>64</v>
      </c>
      <c r="B14" s="10">
        <v>6</v>
      </c>
      <c r="C14" s="3" t="s">
        <v>65</v>
      </c>
    </row>
    <row r="15" ht="43" customHeight="1" spans="1:3">
      <c r="A15" s="3" t="s">
        <v>66</v>
      </c>
      <c r="B15" s="10">
        <v>8</v>
      </c>
      <c r="C15" s="3" t="s">
        <v>65</v>
      </c>
    </row>
    <row r="16" ht="43" customHeight="1" spans="1:3">
      <c r="A16" s="3" t="s">
        <v>67</v>
      </c>
      <c r="B16" s="10">
        <v>8</v>
      </c>
      <c r="C16" s="3" t="s">
        <v>65</v>
      </c>
    </row>
    <row r="17" ht="43" customHeight="1" spans="1:3">
      <c r="A17" s="3" t="s">
        <v>68</v>
      </c>
      <c r="B17" s="10">
        <v>20</v>
      </c>
      <c r="C17" s="3" t="s">
        <v>65</v>
      </c>
    </row>
    <row r="18" ht="43" customHeight="1" spans="1:3">
      <c r="A18" s="3" t="s">
        <v>69</v>
      </c>
      <c r="B18" s="10">
        <v>12</v>
      </c>
      <c r="C18" s="3" t="s">
        <v>65</v>
      </c>
    </row>
    <row r="19" ht="43" customHeight="1" spans="1:3">
      <c r="A19" s="3" t="s">
        <v>70</v>
      </c>
      <c r="B19" s="10">
        <v>20</v>
      </c>
      <c r="C19" s="3" t="s">
        <v>65</v>
      </c>
    </row>
    <row r="20" ht="43" customHeight="1" spans="1:3">
      <c r="A20" s="3" t="s">
        <v>71</v>
      </c>
      <c r="B20" s="10">
        <v>6</v>
      </c>
      <c r="C20" s="3" t="s">
        <v>65</v>
      </c>
    </row>
    <row r="21" ht="43" customHeight="1" spans="1:3">
      <c r="A21" s="3" t="s">
        <v>72</v>
      </c>
      <c r="B21" s="10">
        <v>8</v>
      </c>
      <c r="C21" s="3" t="s">
        <v>65</v>
      </c>
    </row>
    <row r="22" ht="43" customHeight="1" spans="1:3">
      <c r="A22" s="3" t="s">
        <v>73</v>
      </c>
      <c r="B22" s="10">
        <v>8</v>
      </c>
      <c r="C22" s="3" t="s">
        <v>65</v>
      </c>
    </row>
    <row r="23" ht="43" customHeight="1" spans="1:3">
      <c r="A23" s="3" t="s">
        <v>74</v>
      </c>
      <c r="B23" s="10">
        <v>4</v>
      </c>
      <c r="C23" s="3" t="s">
        <v>65</v>
      </c>
    </row>
    <row r="24" ht="43" customHeight="1" spans="1:3">
      <c r="A24" s="3" t="s">
        <v>75</v>
      </c>
      <c r="B24" s="10" t="s">
        <v>76</v>
      </c>
      <c r="C24" s="3" t="s">
        <v>77</v>
      </c>
    </row>
    <row r="25" ht="43" customHeight="1" spans="1:3">
      <c r="A25" s="3" t="s">
        <v>78</v>
      </c>
      <c r="B25" s="2" t="s">
        <v>79</v>
      </c>
      <c r="C25" s="3" t="s">
        <v>80</v>
      </c>
    </row>
    <row r="26" ht="43" customHeight="1" spans="1:3">
      <c r="A26" s="3" t="s">
        <v>81</v>
      </c>
      <c r="B26" s="10" t="s">
        <v>82</v>
      </c>
      <c r="C26" s="3" t="s">
        <v>83</v>
      </c>
    </row>
  </sheetData>
  <mergeCells count="2">
    <mergeCell ref="A1:C1"/>
    <mergeCell ref="A2:C3"/>
  </mergeCells>
  <dataValidations count="2">
    <dataValidation type="list" sqref="B24">
      <formula1>"未确认,已确认"</formula1>
    </dataValidation>
    <dataValidation type="whole" operator="between" sqref="B14:B23">
      <formula1>1</formula1>
      <formula2>100</formula2>
    </dataValidation>
  </dataValidations>
  <pageMargins left="0.7" right="0.7" top="0.75" bottom="0.75" header="0.3" footer="0.3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9"/>
  <sheetViews>
    <sheetView showGridLines="0" workbookViewId="0">
      <pane xSplit="3" ySplit="5" topLeftCell="D17" activePane="bottomRight" state="frozen"/>
      <selection/>
      <selection pane="topRight"/>
      <selection pane="bottomLeft"/>
      <selection pane="bottomRight" activeCell="L12" sqref="L12:L13"/>
    </sheetView>
  </sheetViews>
  <sheetFormatPr defaultColWidth="9" defaultRowHeight="16.8"/>
  <cols>
    <col min="1" max="1" width="12" customWidth="1"/>
    <col min="2" max="2" width="23" customWidth="1"/>
    <col min="3" max="3" width="30" customWidth="1"/>
    <col min="4" max="4" width="45" customWidth="1"/>
    <col min="5" max="5" width="39" customWidth="1"/>
    <col min="6" max="7" width="42" customWidth="1"/>
    <col min="8" max="8" width="54" customWidth="1"/>
    <col min="9" max="10" width="50" customWidth="1"/>
    <col min="11" max="11" width="42" customWidth="1"/>
    <col min="12" max="12" width="12" customWidth="1"/>
    <col min="13" max="13" width="46" customWidth="1"/>
    <col min="14" max="14" width="44" customWidth="1"/>
    <col min="15" max="15" width="25" customWidth="1"/>
  </cols>
  <sheetData>
    <row r="1" ht="38" customHeight="1" spans="1:15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3" customHeight="1" spans="1:1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3" customHeight="1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42" customHeight="1" spans="1:15">
      <c r="A5" s="4" t="s">
        <v>86</v>
      </c>
      <c r="B5" s="4" t="s">
        <v>87</v>
      </c>
      <c r="C5" s="4" t="s">
        <v>88</v>
      </c>
      <c r="D5" s="4" t="s">
        <v>89</v>
      </c>
      <c r="E5" s="4" t="s">
        <v>90</v>
      </c>
      <c r="F5" s="4" t="s">
        <v>91</v>
      </c>
      <c r="G5" s="4" t="s">
        <v>92</v>
      </c>
      <c r="H5" s="4" t="s">
        <v>93</v>
      </c>
      <c r="I5" s="4" t="s">
        <v>94</v>
      </c>
      <c r="J5" s="4" t="s">
        <v>95</v>
      </c>
      <c r="K5" s="4" t="s">
        <v>96</v>
      </c>
      <c r="L5" s="4" t="s">
        <v>97</v>
      </c>
      <c r="M5" s="4" t="s">
        <v>98</v>
      </c>
      <c r="N5" s="4" t="s">
        <v>99</v>
      </c>
      <c r="O5" s="4" t="s">
        <v>100</v>
      </c>
    </row>
    <row r="6" ht="90" customHeight="1" spans="1:15">
      <c r="A6" s="3" t="s">
        <v>101</v>
      </c>
      <c r="B6" s="3" t="s">
        <v>64</v>
      </c>
      <c r="C6" s="3" t="s">
        <v>102</v>
      </c>
      <c r="D6" s="3" t="s">
        <v>103</v>
      </c>
      <c r="E6" s="3" t="s">
        <v>104</v>
      </c>
      <c r="F6" s="3" t="s">
        <v>105</v>
      </c>
      <c r="G6" s="3" t="s">
        <v>106</v>
      </c>
      <c r="H6" s="3" t="s">
        <v>107</v>
      </c>
      <c r="I6" s="3" t="s">
        <v>108</v>
      </c>
      <c r="J6" s="3" t="s">
        <v>109</v>
      </c>
      <c r="K6" s="3" t="s">
        <v>110</v>
      </c>
      <c r="L6" s="3" t="s">
        <v>111</v>
      </c>
      <c r="M6" s="3" t="s">
        <v>112</v>
      </c>
      <c r="N6" s="3" t="s">
        <v>113</v>
      </c>
      <c r="O6" s="3" t="s">
        <v>114</v>
      </c>
    </row>
    <row r="7" ht="90" customHeight="1" spans="1:15">
      <c r="A7" s="3" t="s">
        <v>115</v>
      </c>
      <c r="B7" s="3" t="s">
        <v>64</v>
      </c>
      <c r="C7" s="3" t="s">
        <v>116</v>
      </c>
      <c r="D7" s="3" t="s">
        <v>103</v>
      </c>
      <c r="E7" s="3" t="s">
        <v>117</v>
      </c>
      <c r="F7" s="3" t="s">
        <v>118</v>
      </c>
      <c r="G7" s="3" t="s">
        <v>119</v>
      </c>
      <c r="H7" s="3" t="s">
        <v>120</v>
      </c>
      <c r="I7" s="3" t="s">
        <v>121</v>
      </c>
      <c r="J7" s="3" t="s">
        <v>122</v>
      </c>
      <c r="K7" s="3" t="s">
        <v>123</v>
      </c>
      <c r="L7" s="3" t="s">
        <v>111</v>
      </c>
      <c r="M7" s="3" t="s">
        <v>112</v>
      </c>
      <c r="N7" s="3" t="s">
        <v>124</v>
      </c>
      <c r="O7" s="3" t="s">
        <v>114</v>
      </c>
    </row>
    <row r="8" ht="90" customHeight="1" spans="1:15">
      <c r="A8" s="3" t="s">
        <v>125</v>
      </c>
      <c r="B8" s="3" t="s">
        <v>64</v>
      </c>
      <c r="C8" s="3" t="s">
        <v>126</v>
      </c>
      <c r="D8" s="3" t="s">
        <v>103</v>
      </c>
      <c r="E8" s="3" t="s">
        <v>127</v>
      </c>
      <c r="F8" s="3" t="s">
        <v>128</v>
      </c>
      <c r="G8" s="3" t="s">
        <v>129</v>
      </c>
      <c r="H8" s="3" t="s">
        <v>130</v>
      </c>
      <c r="I8" s="3" t="s">
        <v>131</v>
      </c>
      <c r="J8" s="3" t="s">
        <v>132</v>
      </c>
      <c r="K8" s="3" t="s">
        <v>133</v>
      </c>
      <c r="L8" s="3" t="s">
        <v>111</v>
      </c>
      <c r="M8" s="3" t="s">
        <v>112</v>
      </c>
      <c r="N8" s="3" t="s">
        <v>134</v>
      </c>
      <c r="O8" s="3" t="s">
        <v>114</v>
      </c>
    </row>
    <row r="9" ht="90" customHeight="1" spans="1:15">
      <c r="A9" s="3" t="s">
        <v>135</v>
      </c>
      <c r="B9" s="3" t="s">
        <v>64</v>
      </c>
      <c r="C9" s="3" t="s">
        <v>136</v>
      </c>
      <c r="D9" s="3" t="s">
        <v>137</v>
      </c>
      <c r="E9" s="3" t="s">
        <v>138</v>
      </c>
      <c r="F9" s="3" t="s">
        <v>139</v>
      </c>
      <c r="G9" s="3" t="s">
        <v>140</v>
      </c>
      <c r="H9" s="3" t="s">
        <v>141</v>
      </c>
      <c r="I9" s="3" t="s">
        <v>142</v>
      </c>
      <c r="J9" s="3" t="s">
        <v>143</v>
      </c>
      <c r="K9" s="3" t="s">
        <v>144</v>
      </c>
      <c r="L9" s="3" t="s">
        <v>145</v>
      </c>
      <c r="M9" s="3" t="s">
        <v>112</v>
      </c>
      <c r="N9" s="3" t="s">
        <v>146</v>
      </c>
      <c r="O9" s="3" t="s">
        <v>114</v>
      </c>
    </row>
    <row r="10" ht="90" customHeight="1" spans="1:15">
      <c r="A10" s="3" t="s">
        <v>147</v>
      </c>
      <c r="B10" s="3" t="s">
        <v>64</v>
      </c>
      <c r="C10" s="3" t="s">
        <v>148</v>
      </c>
      <c r="D10" s="3" t="s">
        <v>103</v>
      </c>
      <c r="E10" s="3" t="s">
        <v>149</v>
      </c>
      <c r="F10" s="3" t="s">
        <v>150</v>
      </c>
      <c r="G10" s="3" t="s">
        <v>151</v>
      </c>
      <c r="H10" s="3" t="s">
        <v>152</v>
      </c>
      <c r="I10" s="3" t="s">
        <v>153</v>
      </c>
      <c r="J10" s="3" t="s">
        <v>154</v>
      </c>
      <c r="K10" s="3" t="s">
        <v>155</v>
      </c>
      <c r="L10" s="3" t="s">
        <v>145</v>
      </c>
      <c r="M10" s="3" t="s">
        <v>112</v>
      </c>
      <c r="N10" s="3" t="s">
        <v>156</v>
      </c>
      <c r="O10" s="3" t="s">
        <v>114</v>
      </c>
    </row>
    <row r="11" ht="90" customHeight="1" spans="1:15">
      <c r="A11" s="3" t="s">
        <v>157</v>
      </c>
      <c r="B11" s="3" t="s">
        <v>64</v>
      </c>
      <c r="C11" s="3" t="s">
        <v>158</v>
      </c>
      <c r="D11" s="3" t="s">
        <v>159</v>
      </c>
      <c r="E11" s="3" t="s">
        <v>160</v>
      </c>
      <c r="F11" s="3" t="s">
        <v>161</v>
      </c>
      <c r="G11" s="3" t="s">
        <v>162</v>
      </c>
      <c r="H11" s="3" t="s">
        <v>163</v>
      </c>
      <c r="I11" s="3" t="s">
        <v>164</v>
      </c>
      <c r="J11" s="3" t="s">
        <v>165</v>
      </c>
      <c r="K11" s="3" t="s">
        <v>166</v>
      </c>
      <c r="L11" s="3" t="s">
        <v>145</v>
      </c>
      <c r="M11" s="3" t="s">
        <v>112</v>
      </c>
      <c r="N11" s="3" t="s">
        <v>167</v>
      </c>
      <c r="O11" s="3" t="s">
        <v>114</v>
      </c>
    </row>
    <row r="12" ht="90" customHeight="1" spans="1:15">
      <c r="A12" s="3" t="s">
        <v>168</v>
      </c>
      <c r="B12" s="3" t="s">
        <v>64</v>
      </c>
      <c r="C12" s="3" t="s">
        <v>169</v>
      </c>
      <c r="D12" s="3" t="s">
        <v>170</v>
      </c>
      <c r="E12" s="3" t="s">
        <v>171</v>
      </c>
      <c r="F12" s="3" t="s">
        <v>172</v>
      </c>
      <c r="G12" s="3" t="s">
        <v>173</v>
      </c>
      <c r="H12" s="3" t="s">
        <v>174</v>
      </c>
      <c r="I12" s="3" t="s">
        <v>175</v>
      </c>
      <c r="J12" s="3" t="s">
        <v>176</v>
      </c>
      <c r="K12" s="3" t="s">
        <v>177</v>
      </c>
      <c r="L12" s="3" t="s">
        <v>145</v>
      </c>
      <c r="M12" s="3" t="s">
        <v>112</v>
      </c>
      <c r="N12" s="3" t="s">
        <v>178</v>
      </c>
      <c r="O12" s="3" t="s">
        <v>114</v>
      </c>
    </row>
    <row r="13" ht="90" customHeight="1" spans="1:15">
      <c r="A13" s="3" t="s">
        <v>179</v>
      </c>
      <c r="B13" s="3" t="s">
        <v>64</v>
      </c>
      <c r="C13" s="3" t="s">
        <v>180</v>
      </c>
      <c r="D13" s="3" t="s">
        <v>181</v>
      </c>
      <c r="E13" s="3" t="s">
        <v>182</v>
      </c>
      <c r="F13" s="3" t="s">
        <v>183</v>
      </c>
      <c r="G13" s="3" t="s">
        <v>184</v>
      </c>
      <c r="H13" s="3" t="s">
        <v>185</v>
      </c>
      <c r="I13" s="3" t="s">
        <v>186</v>
      </c>
      <c r="J13" s="3" t="s">
        <v>187</v>
      </c>
      <c r="K13" s="3" t="s">
        <v>188</v>
      </c>
      <c r="L13" s="3" t="s">
        <v>145</v>
      </c>
      <c r="M13" s="3" t="s">
        <v>112</v>
      </c>
      <c r="N13" s="3" t="s">
        <v>189</v>
      </c>
      <c r="O13" s="3" t="s">
        <v>114</v>
      </c>
    </row>
    <row r="14" ht="90" customHeight="1" spans="1:15">
      <c r="A14" s="3" t="s">
        <v>190</v>
      </c>
      <c r="B14" s="3" t="s">
        <v>66</v>
      </c>
      <c r="C14" s="3" t="s">
        <v>191</v>
      </c>
      <c r="D14" s="3" t="s">
        <v>192</v>
      </c>
      <c r="E14" s="3" t="s">
        <v>193</v>
      </c>
      <c r="F14" s="3" t="s">
        <v>194</v>
      </c>
      <c r="G14" s="3" t="s">
        <v>195</v>
      </c>
      <c r="H14" s="3" t="s">
        <v>196</v>
      </c>
      <c r="I14" s="3" t="s">
        <v>197</v>
      </c>
      <c r="J14" s="3" t="s">
        <v>198</v>
      </c>
      <c r="K14" s="3" t="s">
        <v>199</v>
      </c>
      <c r="L14" s="3" t="s">
        <v>111</v>
      </c>
      <c r="M14" s="3" t="s">
        <v>200</v>
      </c>
      <c r="N14" s="3" t="s">
        <v>201</v>
      </c>
      <c r="O14" s="3" t="s">
        <v>114</v>
      </c>
    </row>
    <row r="15" ht="90" customHeight="1" spans="1:15">
      <c r="A15" s="3" t="s">
        <v>202</v>
      </c>
      <c r="B15" s="3" t="s">
        <v>66</v>
      </c>
      <c r="C15" s="3" t="s">
        <v>203</v>
      </c>
      <c r="D15" s="3" t="s">
        <v>204</v>
      </c>
      <c r="E15" s="3" t="s">
        <v>205</v>
      </c>
      <c r="F15" s="3" t="s">
        <v>206</v>
      </c>
      <c r="G15" s="3" t="s">
        <v>207</v>
      </c>
      <c r="H15" s="3" t="s">
        <v>208</v>
      </c>
      <c r="I15" s="3" t="s">
        <v>209</v>
      </c>
      <c r="J15" s="3" t="s">
        <v>210</v>
      </c>
      <c r="K15" s="3" t="s">
        <v>211</v>
      </c>
      <c r="L15" s="3" t="s">
        <v>111</v>
      </c>
      <c r="M15" s="3" t="s">
        <v>200</v>
      </c>
      <c r="N15" s="3" t="s">
        <v>212</v>
      </c>
      <c r="O15" s="3" t="s">
        <v>114</v>
      </c>
    </row>
    <row r="16" ht="90" customHeight="1" spans="1:15">
      <c r="A16" s="3" t="s">
        <v>213</v>
      </c>
      <c r="B16" s="3" t="s">
        <v>66</v>
      </c>
      <c r="C16" s="3" t="s">
        <v>214</v>
      </c>
      <c r="D16" s="3" t="s">
        <v>215</v>
      </c>
      <c r="E16" s="3" t="s">
        <v>216</v>
      </c>
      <c r="F16" s="3" t="s">
        <v>217</v>
      </c>
      <c r="G16" s="3" t="s">
        <v>218</v>
      </c>
      <c r="H16" s="3" t="s">
        <v>219</v>
      </c>
      <c r="I16" s="3" t="s">
        <v>220</v>
      </c>
      <c r="J16" s="3" t="s">
        <v>221</v>
      </c>
      <c r="K16" s="3" t="s">
        <v>222</v>
      </c>
      <c r="L16" s="3" t="s">
        <v>145</v>
      </c>
      <c r="M16" s="3" t="s">
        <v>200</v>
      </c>
      <c r="N16" s="3" t="s">
        <v>223</v>
      </c>
      <c r="O16" s="3" t="s">
        <v>114</v>
      </c>
    </row>
    <row r="17" ht="90" customHeight="1" spans="1:15">
      <c r="A17" s="3" t="s">
        <v>224</v>
      </c>
      <c r="B17" s="3" t="s">
        <v>66</v>
      </c>
      <c r="C17" s="3" t="s">
        <v>225</v>
      </c>
      <c r="D17" s="3" t="s">
        <v>226</v>
      </c>
      <c r="E17" s="3" t="s">
        <v>227</v>
      </c>
      <c r="F17" s="3" t="s">
        <v>228</v>
      </c>
      <c r="G17" s="3" t="s">
        <v>229</v>
      </c>
      <c r="H17" s="3" t="s">
        <v>230</v>
      </c>
      <c r="I17" s="3" t="s">
        <v>231</v>
      </c>
      <c r="J17" s="3" t="s">
        <v>232</v>
      </c>
      <c r="K17" s="3" t="s">
        <v>233</v>
      </c>
      <c r="L17" s="3" t="s">
        <v>111</v>
      </c>
      <c r="M17" s="3" t="s">
        <v>200</v>
      </c>
      <c r="N17" s="3" t="s">
        <v>234</v>
      </c>
      <c r="O17" s="3" t="s">
        <v>114</v>
      </c>
    </row>
    <row r="18" ht="90" customHeight="1" spans="1:15">
      <c r="A18" s="3" t="s">
        <v>235</v>
      </c>
      <c r="B18" s="3" t="s">
        <v>66</v>
      </c>
      <c r="C18" s="3" t="s">
        <v>236</v>
      </c>
      <c r="D18" s="3" t="s">
        <v>237</v>
      </c>
      <c r="E18" s="3" t="s">
        <v>238</v>
      </c>
      <c r="F18" s="3" t="s">
        <v>239</v>
      </c>
      <c r="G18" s="3" t="s">
        <v>240</v>
      </c>
      <c r="H18" s="3" t="s">
        <v>241</v>
      </c>
      <c r="I18" s="3" t="s">
        <v>242</v>
      </c>
      <c r="J18" s="3" t="s">
        <v>243</v>
      </c>
      <c r="K18" s="3" t="s">
        <v>244</v>
      </c>
      <c r="L18" s="3" t="s">
        <v>111</v>
      </c>
      <c r="M18" s="3" t="s">
        <v>200</v>
      </c>
      <c r="N18" s="3" t="s">
        <v>245</v>
      </c>
      <c r="O18" s="3" t="s">
        <v>114</v>
      </c>
    </row>
    <row r="19" ht="90" customHeight="1" spans="1:15">
      <c r="A19" s="3" t="s">
        <v>246</v>
      </c>
      <c r="B19" s="3" t="s">
        <v>66</v>
      </c>
      <c r="C19" s="3" t="s">
        <v>247</v>
      </c>
      <c r="D19" s="3" t="s">
        <v>248</v>
      </c>
      <c r="E19" s="3" t="s">
        <v>249</v>
      </c>
      <c r="F19" s="3" t="s">
        <v>250</v>
      </c>
      <c r="G19" s="3" t="s">
        <v>251</v>
      </c>
      <c r="H19" s="3" t="s">
        <v>252</v>
      </c>
      <c r="I19" s="3" t="s">
        <v>253</v>
      </c>
      <c r="J19" s="3" t="s">
        <v>254</v>
      </c>
      <c r="K19" s="3" t="s">
        <v>255</v>
      </c>
      <c r="L19" s="3" t="s">
        <v>111</v>
      </c>
      <c r="M19" s="3" t="s">
        <v>200</v>
      </c>
      <c r="N19" s="3" t="s">
        <v>256</v>
      </c>
      <c r="O19" s="3" t="s">
        <v>114</v>
      </c>
    </row>
    <row r="20" ht="90" customHeight="1" spans="1:15">
      <c r="A20" s="3" t="s">
        <v>257</v>
      </c>
      <c r="B20" s="3" t="s">
        <v>66</v>
      </c>
      <c r="C20" s="3" t="s">
        <v>258</v>
      </c>
      <c r="D20" s="3" t="s">
        <v>259</v>
      </c>
      <c r="E20" s="3" t="s">
        <v>260</v>
      </c>
      <c r="F20" s="3" t="s">
        <v>261</v>
      </c>
      <c r="G20" s="3" t="s">
        <v>262</v>
      </c>
      <c r="H20" s="3" t="s">
        <v>263</v>
      </c>
      <c r="I20" s="3" t="s">
        <v>264</v>
      </c>
      <c r="J20" s="3" t="s">
        <v>265</v>
      </c>
      <c r="K20" s="3" t="s">
        <v>266</v>
      </c>
      <c r="L20" s="3" t="s">
        <v>145</v>
      </c>
      <c r="M20" s="3" t="s">
        <v>200</v>
      </c>
      <c r="N20" s="3" t="s">
        <v>267</v>
      </c>
      <c r="O20" s="3" t="s">
        <v>114</v>
      </c>
    </row>
    <row r="21" ht="90" customHeight="1" spans="1:15">
      <c r="A21" s="3" t="s">
        <v>268</v>
      </c>
      <c r="B21" s="3" t="s">
        <v>66</v>
      </c>
      <c r="C21" s="3" t="s">
        <v>269</v>
      </c>
      <c r="D21" s="3" t="s">
        <v>270</v>
      </c>
      <c r="E21" s="3" t="s">
        <v>271</v>
      </c>
      <c r="F21" s="3" t="s">
        <v>272</v>
      </c>
      <c r="G21" s="3" t="s">
        <v>273</v>
      </c>
      <c r="H21" s="3" t="s">
        <v>274</v>
      </c>
      <c r="I21" s="3" t="s">
        <v>275</v>
      </c>
      <c r="J21" s="3" t="s">
        <v>276</v>
      </c>
      <c r="K21" s="3" t="s">
        <v>277</v>
      </c>
      <c r="L21" s="3" t="s">
        <v>145</v>
      </c>
      <c r="M21" s="3" t="s">
        <v>200</v>
      </c>
      <c r="N21" s="3" t="s">
        <v>278</v>
      </c>
      <c r="O21" s="3" t="s">
        <v>114</v>
      </c>
    </row>
    <row r="22" ht="90" customHeight="1" spans="1:15">
      <c r="A22" s="3" t="s">
        <v>279</v>
      </c>
      <c r="B22" s="3" t="s">
        <v>67</v>
      </c>
      <c r="C22" s="3" t="s">
        <v>280</v>
      </c>
      <c r="D22" s="3" t="s">
        <v>281</v>
      </c>
      <c r="E22" s="3" t="s">
        <v>282</v>
      </c>
      <c r="F22" s="3" t="s">
        <v>283</v>
      </c>
      <c r="G22" s="3" t="s">
        <v>284</v>
      </c>
      <c r="H22" s="3" t="s">
        <v>285</v>
      </c>
      <c r="I22" s="3" t="s">
        <v>286</v>
      </c>
      <c r="J22" s="3" t="s">
        <v>287</v>
      </c>
      <c r="K22" s="3" t="s">
        <v>288</v>
      </c>
      <c r="L22" s="3" t="s">
        <v>111</v>
      </c>
      <c r="M22" s="3" t="s">
        <v>289</v>
      </c>
      <c r="N22" s="3" t="s">
        <v>290</v>
      </c>
      <c r="O22" s="3" t="s">
        <v>291</v>
      </c>
    </row>
    <row r="23" ht="90" customHeight="1" spans="1:15">
      <c r="A23" s="3" t="s">
        <v>292</v>
      </c>
      <c r="B23" s="3" t="s">
        <v>67</v>
      </c>
      <c r="C23" s="3" t="s">
        <v>293</v>
      </c>
      <c r="D23" s="3" t="s">
        <v>294</v>
      </c>
      <c r="E23" s="3" t="s">
        <v>295</v>
      </c>
      <c r="F23" s="3" t="s">
        <v>296</v>
      </c>
      <c r="G23" s="3" t="s">
        <v>297</v>
      </c>
      <c r="H23" s="3" t="s">
        <v>298</v>
      </c>
      <c r="I23" s="3" t="s">
        <v>299</v>
      </c>
      <c r="J23" s="3" t="s">
        <v>300</v>
      </c>
      <c r="K23" s="3" t="s">
        <v>301</v>
      </c>
      <c r="L23" s="3" t="s">
        <v>145</v>
      </c>
      <c r="M23" s="3" t="s">
        <v>289</v>
      </c>
      <c r="N23" s="3" t="s">
        <v>302</v>
      </c>
      <c r="O23" s="3" t="s">
        <v>291</v>
      </c>
    </row>
    <row r="24" ht="90" customHeight="1" spans="1:15">
      <c r="A24" s="3" t="s">
        <v>303</v>
      </c>
      <c r="B24" s="3" t="s">
        <v>67</v>
      </c>
      <c r="C24" s="3" t="s">
        <v>304</v>
      </c>
      <c r="D24" s="3" t="s">
        <v>305</v>
      </c>
      <c r="E24" s="3" t="s">
        <v>306</v>
      </c>
      <c r="F24" s="3" t="s">
        <v>307</v>
      </c>
      <c r="G24" s="3" t="s">
        <v>308</v>
      </c>
      <c r="H24" s="3" t="s">
        <v>309</v>
      </c>
      <c r="I24" s="3" t="s">
        <v>310</v>
      </c>
      <c r="J24" s="3" t="s">
        <v>311</v>
      </c>
      <c r="K24" s="3" t="s">
        <v>312</v>
      </c>
      <c r="L24" s="3" t="s">
        <v>111</v>
      </c>
      <c r="M24" s="3" t="s">
        <v>289</v>
      </c>
      <c r="N24" s="3" t="s">
        <v>313</v>
      </c>
      <c r="O24" s="3" t="s">
        <v>291</v>
      </c>
    </row>
    <row r="25" ht="90" customHeight="1" spans="1:15">
      <c r="A25" s="3" t="s">
        <v>314</v>
      </c>
      <c r="B25" s="3" t="s">
        <v>67</v>
      </c>
      <c r="C25" s="3" t="s">
        <v>315</v>
      </c>
      <c r="D25" s="3" t="s">
        <v>316</v>
      </c>
      <c r="E25" s="3" t="s">
        <v>317</v>
      </c>
      <c r="F25" s="3" t="s">
        <v>318</v>
      </c>
      <c r="G25" s="3" t="s">
        <v>319</v>
      </c>
      <c r="H25" s="3" t="s">
        <v>320</v>
      </c>
      <c r="I25" s="3" t="s">
        <v>321</v>
      </c>
      <c r="J25" s="3" t="s">
        <v>322</v>
      </c>
      <c r="K25" s="3" t="s">
        <v>323</v>
      </c>
      <c r="L25" s="3" t="s">
        <v>145</v>
      </c>
      <c r="M25" s="3" t="s">
        <v>289</v>
      </c>
      <c r="N25" s="3" t="s">
        <v>324</v>
      </c>
      <c r="O25" s="3" t="s">
        <v>291</v>
      </c>
    </row>
    <row r="26" ht="90" customHeight="1" spans="1:15">
      <c r="A26" s="3" t="s">
        <v>325</v>
      </c>
      <c r="B26" s="3" t="s">
        <v>67</v>
      </c>
      <c r="C26" s="3" t="s">
        <v>326</v>
      </c>
      <c r="D26" s="3" t="s">
        <v>327</v>
      </c>
      <c r="E26" s="3" t="s">
        <v>328</v>
      </c>
      <c r="F26" s="3" t="s">
        <v>329</v>
      </c>
      <c r="G26" s="3" t="s">
        <v>330</v>
      </c>
      <c r="H26" s="3" t="s">
        <v>331</v>
      </c>
      <c r="I26" s="3" t="s">
        <v>332</v>
      </c>
      <c r="J26" s="3" t="s">
        <v>333</v>
      </c>
      <c r="K26" s="3" t="s">
        <v>334</v>
      </c>
      <c r="L26" s="3" t="s">
        <v>111</v>
      </c>
      <c r="M26" s="3" t="s">
        <v>289</v>
      </c>
      <c r="N26" s="3" t="s">
        <v>335</v>
      </c>
      <c r="O26" s="3" t="s">
        <v>291</v>
      </c>
    </row>
    <row r="27" ht="90" customHeight="1" spans="1:15">
      <c r="A27" s="3" t="s">
        <v>336</v>
      </c>
      <c r="B27" s="3" t="s">
        <v>67</v>
      </c>
      <c r="C27" s="3" t="s">
        <v>337</v>
      </c>
      <c r="D27" s="3" t="s">
        <v>327</v>
      </c>
      <c r="E27" s="3" t="s">
        <v>338</v>
      </c>
      <c r="F27" s="3" t="s">
        <v>339</v>
      </c>
      <c r="G27" s="3" t="s">
        <v>340</v>
      </c>
      <c r="H27" s="3" t="s">
        <v>341</v>
      </c>
      <c r="I27" s="3" t="s">
        <v>342</v>
      </c>
      <c r="J27" s="3" t="s">
        <v>343</v>
      </c>
      <c r="K27" s="3" t="s">
        <v>344</v>
      </c>
      <c r="L27" s="3" t="s">
        <v>145</v>
      </c>
      <c r="M27" s="3" t="s">
        <v>289</v>
      </c>
      <c r="N27" s="3" t="s">
        <v>345</v>
      </c>
      <c r="O27" s="3" t="s">
        <v>291</v>
      </c>
    </row>
    <row r="28" ht="90" customHeight="1" spans="1:15">
      <c r="A28" s="3" t="s">
        <v>346</v>
      </c>
      <c r="B28" s="3" t="s">
        <v>67</v>
      </c>
      <c r="C28" s="3" t="s">
        <v>347</v>
      </c>
      <c r="D28" s="3" t="s">
        <v>348</v>
      </c>
      <c r="E28" s="3" t="s">
        <v>349</v>
      </c>
      <c r="F28" s="3" t="s">
        <v>350</v>
      </c>
      <c r="G28" s="3" t="s">
        <v>351</v>
      </c>
      <c r="H28" s="3" t="s">
        <v>352</v>
      </c>
      <c r="I28" s="3" t="s">
        <v>353</v>
      </c>
      <c r="J28" s="3" t="s">
        <v>354</v>
      </c>
      <c r="K28" s="3" t="s">
        <v>355</v>
      </c>
      <c r="L28" s="3" t="s">
        <v>111</v>
      </c>
      <c r="M28" s="3" t="s">
        <v>289</v>
      </c>
      <c r="N28" s="3" t="s">
        <v>356</v>
      </c>
      <c r="O28" s="3" t="s">
        <v>291</v>
      </c>
    </row>
    <row r="29" ht="90" customHeight="1" spans="1:15">
      <c r="A29" s="3" t="s">
        <v>357</v>
      </c>
      <c r="B29" s="3" t="s">
        <v>67</v>
      </c>
      <c r="C29" s="3" t="s">
        <v>358</v>
      </c>
      <c r="D29" s="3" t="s">
        <v>359</v>
      </c>
      <c r="E29" s="3" t="s">
        <v>360</v>
      </c>
      <c r="F29" s="3" t="s">
        <v>361</v>
      </c>
      <c r="G29" s="3" t="s">
        <v>362</v>
      </c>
      <c r="H29" s="3" t="s">
        <v>363</v>
      </c>
      <c r="I29" s="3" t="s">
        <v>364</v>
      </c>
      <c r="J29" s="3" t="s">
        <v>365</v>
      </c>
      <c r="K29" s="3" t="s">
        <v>366</v>
      </c>
      <c r="L29" s="3" t="s">
        <v>145</v>
      </c>
      <c r="M29" s="3" t="s">
        <v>289</v>
      </c>
      <c r="N29" s="3" t="s">
        <v>367</v>
      </c>
      <c r="O29" s="3" t="s">
        <v>291</v>
      </c>
    </row>
    <row r="30" ht="90" customHeight="1" spans="1:15">
      <c r="A30" s="3" t="s">
        <v>368</v>
      </c>
      <c r="B30" s="3" t="s">
        <v>68</v>
      </c>
      <c r="C30" s="3" t="s">
        <v>369</v>
      </c>
      <c r="D30" s="3" t="s">
        <v>370</v>
      </c>
      <c r="E30" s="3" t="s">
        <v>371</v>
      </c>
      <c r="F30" s="3" t="s">
        <v>372</v>
      </c>
      <c r="G30" s="3" t="s">
        <v>373</v>
      </c>
      <c r="H30" s="3" t="s">
        <v>374</v>
      </c>
      <c r="I30" s="3" t="s">
        <v>375</v>
      </c>
      <c r="J30" s="3" t="s">
        <v>376</v>
      </c>
      <c r="K30" s="3" t="s">
        <v>377</v>
      </c>
      <c r="L30" s="3" t="s">
        <v>111</v>
      </c>
      <c r="M30" s="3" t="s">
        <v>378</v>
      </c>
      <c r="N30" s="3" t="s">
        <v>379</v>
      </c>
      <c r="O30" s="3" t="s">
        <v>291</v>
      </c>
    </row>
    <row r="31" ht="90" customHeight="1" spans="1:15">
      <c r="A31" s="3" t="s">
        <v>380</v>
      </c>
      <c r="B31" s="3" t="s">
        <v>68</v>
      </c>
      <c r="C31" s="3" t="s">
        <v>381</v>
      </c>
      <c r="D31" s="3" t="s">
        <v>327</v>
      </c>
      <c r="E31" s="3" t="s">
        <v>382</v>
      </c>
      <c r="F31" s="3" t="s">
        <v>383</v>
      </c>
      <c r="G31" s="3" t="s">
        <v>384</v>
      </c>
      <c r="H31" s="3" t="s">
        <v>385</v>
      </c>
      <c r="I31" s="3" t="s">
        <v>386</v>
      </c>
      <c r="J31" s="3" t="s">
        <v>387</v>
      </c>
      <c r="K31" s="3" t="s">
        <v>388</v>
      </c>
      <c r="L31" s="3" t="s">
        <v>111</v>
      </c>
      <c r="M31" s="3" t="s">
        <v>378</v>
      </c>
      <c r="N31" s="3" t="s">
        <v>389</v>
      </c>
      <c r="O31" s="3" t="s">
        <v>291</v>
      </c>
    </row>
    <row r="32" ht="90" customHeight="1" spans="1:15">
      <c r="A32" s="3" t="s">
        <v>390</v>
      </c>
      <c r="B32" s="3" t="s">
        <v>68</v>
      </c>
      <c r="C32" s="3" t="s">
        <v>391</v>
      </c>
      <c r="D32" s="3" t="s">
        <v>327</v>
      </c>
      <c r="E32" s="3" t="s">
        <v>392</v>
      </c>
      <c r="F32" s="3" t="s">
        <v>393</v>
      </c>
      <c r="G32" s="3" t="s">
        <v>394</v>
      </c>
      <c r="H32" s="3" t="s">
        <v>395</v>
      </c>
      <c r="I32" s="3" t="s">
        <v>396</v>
      </c>
      <c r="J32" s="3" t="s">
        <v>397</v>
      </c>
      <c r="K32" s="3" t="s">
        <v>398</v>
      </c>
      <c r="L32" s="3" t="s">
        <v>111</v>
      </c>
      <c r="M32" s="3" t="s">
        <v>378</v>
      </c>
      <c r="N32" s="3" t="s">
        <v>399</v>
      </c>
      <c r="O32" s="3" t="s">
        <v>291</v>
      </c>
    </row>
    <row r="33" ht="90" customHeight="1" spans="1:15">
      <c r="A33" s="3" t="s">
        <v>400</v>
      </c>
      <c r="B33" s="3" t="s">
        <v>68</v>
      </c>
      <c r="C33" s="3" t="s">
        <v>401</v>
      </c>
      <c r="D33" s="3" t="s">
        <v>327</v>
      </c>
      <c r="E33" s="3" t="s">
        <v>402</v>
      </c>
      <c r="F33" s="3" t="s">
        <v>403</v>
      </c>
      <c r="G33" s="3" t="s">
        <v>404</v>
      </c>
      <c r="H33" s="3" t="s">
        <v>405</v>
      </c>
      <c r="I33" s="3" t="s">
        <v>406</v>
      </c>
      <c r="J33" s="3" t="s">
        <v>407</v>
      </c>
      <c r="K33" s="3" t="s">
        <v>408</v>
      </c>
      <c r="L33" s="3" t="s">
        <v>111</v>
      </c>
      <c r="M33" s="3" t="s">
        <v>378</v>
      </c>
      <c r="N33" s="3" t="s">
        <v>409</v>
      </c>
      <c r="O33" s="3" t="s">
        <v>291</v>
      </c>
    </row>
    <row r="34" ht="90" customHeight="1" spans="1:15">
      <c r="A34" s="3" t="s">
        <v>410</v>
      </c>
      <c r="B34" s="3" t="s">
        <v>68</v>
      </c>
      <c r="C34" s="3" t="s">
        <v>411</v>
      </c>
      <c r="D34" s="3" t="s">
        <v>412</v>
      </c>
      <c r="E34" s="3" t="s">
        <v>413</v>
      </c>
      <c r="F34" s="3" t="s">
        <v>414</v>
      </c>
      <c r="G34" s="3" t="s">
        <v>415</v>
      </c>
      <c r="H34" s="3" t="s">
        <v>416</v>
      </c>
      <c r="I34" s="3" t="s">
        <v>417</v>
      </c>
      <c r="J34" s="3" t="s">
        <v>418</v>
      </c>
      <c r="K34" s="3" t="s">
        <v>419</v>
      </c>
      <c r="L34" s="3" t="s">
        <v>145</v>
      </c>
      <c r="M34" s="3" t="s">
        <v>378</v>
      </c>
      <c r="N34" s="3" t="s">
        <v>420</v>
      </c>
      <c r="O34" s="3" t="s">
        <v>291</v>
      </c>
    </row>
    <row r="35" ht="90" customHeight="1" spans="1:15">
      <c r="A35" s="3" t="s">
        <v>421</v>
      </c>
      <c r="B35" s="3" t="s">
        <v>68</v>
      </c>
      <c r="C35" s="3" t="s">
        <v>422</v>
      </c>
      <c r="D35" s="3" t="s">
        <v>423</v>
      </c>
      <c r="E35" s="3" t="s">
        <v>424</v>
      </c>
      <c r="F35" s="3" t="s">
        <v>425</v>
      </c>
      <c r="G35" s="3" t="s">
        <v>426</v>
      </c>
      <c r="H35" s="3" t="s">
        <v>427</v>
      </c>
      <c r="I35" s="3" t="s">
        <v>428</v>
      </c>
      <c r="J35" s="3" t="s">
        <v>429</v>
      </c>
      <c r="K35" s="3" t="s">
        <v>430</v>
      </c>
      <c r="L35" s="3" t="s">
        <v>145</v>
      </c>
      <c r="M35" s="3" t="s">
        <v>378</v>
      </c>
      <c r="N35" s="3" t="s">
        <v>431</v>
      </c>
      <c r="O35" s="3" t="s">
        <v>291</v>
      </c>
    </row>
    <row r="36" ht="90" customHeight="1" spans="1:15">
      <c r="A36" s="3" t="s">
        <v>432</v>
      </c>
      <c r="B36" s="3" t="s">
        <v>68</v>
      </c>
      <c r="C36" s="3" t="s">
        <v>433</v>
      </c>
      <c r="D36" s="3" t="s">
        <v>434</v>
      </c>
      <c r="E36" s="3" t="s">
        <v>435</v>
      </c>
      <c r="F36" s="3" t="s">
        <v>436</v>
      </c>
      <c r="G36" s="3" t="s">
        <v>437</v>
      </c>
      <c r="H36" s="3" t="s">
        <v>438</v>
      </c>
      <c r="I36" s="3" t="s">
        <v>439</v>
      </c>
      <c r="J36" s="3" t="s">
        <v>440</v>
      </c>
      <c r="K36" s="3" t="s">
        <v>441</v>
      </c>
      <c r="L36" s="3" t="s">
        <v>145</v>
      </c>
      <c r="M36" s="3" t="s">
        <v>378</v>
      </c>
      <c r="N36" s="3" t="s">
        <v>442</v>
      </c>
      <c r="O36" s="3" t="s">
        <v>291</v>
      </c>
    </row>
    <row r="37" ht="90" customHeight="1" spans="1:15">
      <c r="A37" s="3" t="s">
        <v>443</v>
      </c>
      <c r="B37" s="3" t="s">
        <v>68</v>
      </c>
      <c r="C37" s="3" t="s">
        <v>444</v>
      </c>
      <c r="D37" s="3" t="s">
        <v>445</v>
      </c>
      <c r="E37" s="3" t="s">
        <v>446</v>
      </c>
      <c r="F37" s="3" t="s">
        <v>447</v>
      </c>
      <c r="G37" s="3" t="s">
        <v>448</v>
      </c>
      <c r="H37" s="3" t="s">
        <v>449</v>
      </c>
      <c r="I37" s="3" t="s">
        <v>450</v>
      </c>
      <c r="J37" s="3" t="s">
        <v>451</v>
      </c>
      <c r="K37" s="3" t="s">
        <v>452</v>
      </c>
      <c r="L37" s="3" t="s">
        <v>111</v>
      </c>
      <c r="M37" s="3" t="s">
        <v>378</v>
      </c>
      <c r="N37" s="3" t="s">
        <v>453</v>
      </c>
      <c r="O37" s="3" t="s">
        <v>291</v>
      </c>
    </row>
    <row r="38" ht="90" customHeight="1" spans="1:15">
      <c r="A38" s="3" t="s">
        <v>454</v>
      </c>
      <c r="B38" s="3" t="s">
        <v>68</v>
      </c>
      <c r="C38" s="3" t="s">
        <v>455</v>
      </c>
      <c r="D38" s="3" t="s">
        <v>327</v>
      </c>
      <c r="E38" s="3" t="s">
        <v>456</v>
      </c>
      <c r="F38" s="3" t="s">
        <v>457</v>
      </c>
      <c r="G38" s="3" t="s">
        <v>458</v>
      </c>
      <c r="H38" s="3" t="s">
        <v>459</v>
      </c>
      <c r="I38" s="3" t="s">
        <v>460</v>
      </c>
      <c r="J38" s="3" t="s">
        <v>461</v>
      </c>
      <c r="K38" s="3" t="s">
        <v>462</v>
      </c>
      <c r="L38" s="3" t="s">
        <v>145</v>
      </c>
      <c r="M38" s="3" t="s">
        <v>378</v>
      </c>
      <c r="N38" s="3" t="s">
        <v>463</v>
      </c>
      <c r="O38" s="3" t="s">
        <v>291</v>
      </c>
    </row>
    <row r="39" ht="90" customHeight="1" spans="1:15">
      <c r="A39" s="3" t="s">
        <v>464</v>
      </c>
      <c r="B39" s="3" t="s">
        <v>68</v>
      </c>
      <c r="C39" s="3" t="s">
        <v>465</v>
      </c>
      <c r="D39" s="3" t="s">
        <v>466</v>
      </c>
      <c r="E39" s="3" t="s">
        <v>467</v>
      </c>
      <c r="F39" s="3" t="s">
        <v>468</v>
      </c>
      <c r="G39" s="3" t="s">
        <v>469</v>
      </c>
      <c r="H39" s="3" t="s">
        <v>470</v>
      </c>
      <c r="I39" s="3" t="s">
        <v>471</v>
      </c>
      <c r="J39" s="3" t="s">
        <v>472</v>
      </c>
      <c r="K39" s="3" t="s">
        <v>473</v>
      </c>
      <c r="L39" s="3" t="s">
        <v>145</v>
      </c>
      <c r="M39" s="3" t="s">
        <v>378</v>
      </c>
      <c r="N39" s="3" t="s">
        <v>474</v>
      </c>
      <c r="O39" s="3" t="s">
        <v>291</v>
      </c>
    </row>
    <row r="40" ht="90" customHeight="1" spans="1:15">
      <c r="A40" s="3" t="s">
        <v>475</v>
      </c>
      <c r="B40" s="3" t="s">
        <v>69</v>
      </c>
      <c r="C40" s="3" t="s">
        <v>476</v>
      </c>
      <c r="D40" s="3" t="s">
        <v>477</v>
      </c>
      <c r="E40" s="3" t="s">
        <v>478</v>
      </c>
      <c r="F40" s="3" t="s">
        <v>479</v>
      </c>
      <c r="G40" s="3" t="s">
        <v>480</v>
      </c>
      <c r="H40" s="3" t="s">
        <v>481</v>
      </c>
      <c r="I40" s="3" t="s">
        <v>482</v>
      </c>
      <c r="J40" s="3" t="s">
        <v>483</v>
      </c>
      <c r="K40" s="3" t="s">
        <v>484</v>
      </c>
      <c r="L40" s="3" t="s">
        <v>111</v>
      </c>
      <c r="M40" s="3" t="s">
        <v>485</v>
      </c>
      <c r="N40" s="3" t="s">
        <v>486</v>
      </c>
      <c r="O40" s="3" t="s">
        <v>291</v>
      </c>
    </row>
    <row r="41" ht="90" customHeight="1" spans="1:15">
      <c r="A41" s="3" t="s">
        <v>487</v>
      </c>
      <c r="B41" s="3" t="s">
        <v>69</v>
      </c>
      <c r="C41" s="3" t="s">
        <v>488</v>
      </c>
      <c r="D41" s="3" t="s">
        <v>489</v>
      </c>
      <c r="E41" s="3" t="s">
        <v>490</v>
      </c>
      <c r="F41" s="3" t="s">
        <v>491</v>
      </c>
      <c r="G41" s="3" t="s">
        <v>492</v>
      </c>
      <c r="H41" s="3" t="s">
        <v>493</v>
      </c>
      <c r="I41" s="3" t="s">
        <v>494</v>
      </c>
      <c r="J41" s="3" t="s">
        <v>495</v>
      </c>
      <c r="K41" s="3" t="s">
        <v>496</v>
      </c>
      <c r="L41" s="3" t="s">
        <v>145</v>
      </c>
      <c r="M41" s="3" t="s">
        <v>485</v>
      </c>
      <c r="N41" s="3" t="s">
        <v>497</v>
      </c>
      <c r="O41" s="3" t="s">
        <v>291</v>
      </c>
    </row>
    <row r="42" ht="90" customHeight="1" spans="1:15">
      <c r="A42" s="3" t="s">
        <v>498</v>
      </c>
      <c r="B42" s="3" t="s">
        <v>69</v>
      </c>
      <c r="C42" s="3" t="s">
        <v>499</v>
      </c>
      <c r="D42" s="3" t="s">
        <v>500</v>
      </c>
      <c r="E42" s="3" t="s">
        <v>501</v>
      </c>
      <c r="F42" s="3" t="s">
        <v>502</v>
      </c>
      <c r="G42" s="3" t="s">
        <v>503</v>
      </c>
      <c r="H42" s="3" t="s">
        <v>504</v>
      </c>
      <c r="I42" s="3" t="s">
        <v>505</v>
      </c>
      <c r="J42" s="3" t="s">
        <v>506</v>
      </c>
      <c r="K42" s="3" t="s">
        <v>507</v>
      </c>
      <c r="L42" s="3" t="s">
        <v>145</v>
      </c>
      <c r="M42" s="3" t="s">
        <v>485</v>
      </c>
      <c r="N42" s="3" t="s">
        <v>508</v>
      </c>
      <c r="O42" s="3" t="s">
        <v>291</v>
      </c>
    </row>
    <row r="43" ht="90" customHeight="1" spans="1:15">
      <c r="A43" s="3" t="s">
        <v>509</v>
      </c>
      <c r="B43" s="3" t="s">
        <v>69</v>
      </c>
      <c r="C43" s="3" t="s">
        <v>510</v>
      </c>
      <c r="D43" s="3" t="s">
        <v>511</v>
      </c>
      <c r="E43" s="3" t="s">
        <v>512</v>
      </c>
      <c r="F43" s="3" t="s">
        <v>513</v>
      </c>
      <c r="G43" s="3" t="s">
        <v>514</v>
      </c>
      <c r="H43" s="3" t="s">
        <v>515</v>
      </c>
      <c r="I43" s="3" t="s">
        <v>516</v>
      </c>
      <c r="J43" s="3" t="s">
        <v>517</v>
      </c>
      <c r="K43" s="3" t="s">
        <v>518</v>
      </c>
      <c r="L43" s="3" t="s">
        <v>111</v>
      </c>
      <c r="M43" s="3" t="s">
        <v>485</v>
      </c>
      <c r="N43" s="3" t="s">
        <v>519</v>
      </c>
      <c r="O43" s="3" t="s">
        <v>291</v>
      </c>
    </row>
    <row r="44" ht="90" customHeight="1" spans="1:15">
      <c r="A44" s="3" t="s">
        <v>520</v>
      </c>
      <c r="B44" s="3" t="s">
        <v>69</v>
      </c>
      <c r="C44" s="3" t="s">
        <v>521</v>
      </c>
      <c r="D44" s="3" t="s">
        <v>522</v>
      </c>
      <c r="E44" s="3" t="s">
        <v>523</v>
      </c>
      <c r="F44" s="3" t="s">
        <v>524</v>
      </c>
      <c r="G44" s="3" t="s">
        <v>525</v>
      </c>
      <c r="H44" s="3" t="s">
        <v>526</v>
      </c>
      <c r="I44" s="3" t="s">
        <v>527</v>
      </c>
      <c r="J44" s="3" t="s">
        <v>528</v>
      </c>
      <c r="K44" s="3" t="s">
        <v>529</v>
      </c>
      <c r="L44" s="3" t="s">
        <v>145</v>
      </c>
      <c r="M44" s="3" t="s">
        <v>485</v>
      </c>
      <c r="N44" s="3" t="s">
        <v>530</v>
      </c>
      <c r="O44" s="3" t="s">
        <v>291</v>
      </c>
    </row>
    <row r="45" ht="90" customHeight="1" spans="1:15">
      <c r="A45" s="3" t="s">
        <v>531</v>
      </c>
      <c r="B45" s="3" t="s">
        <v>69</v>
      </c>
      <c r="C45" s="3" t="s">
        <v>532</v>
      </c>
      <c r="D45" s="3" t="s">
        <v>533</v>
      </c>
      <c r="E45" s="3" t="s">
        <v>534</v>
      </c>
      <c r="F45" s="3" t="s">
        <v>535</v>
      </c>
      <c r="G45" s="3" t="s">
        <v>536</v>
      </c>
      <c r="H45" s="3" t="s">
        <v>537</v>
      </c>
      <c r="I45" s="3" t="s">
        <v>538</v>
      </c>
      <c r="J45" s="3" t="s">
        <v>539</v>
      </c>
      <c r="K45" s="3" t="s">
        <v>540</v>
      </c>
      <c r="L45" s="3" t="s">
        <v>145</v>
      </c>
      <c r="M45" s="3" t="s">
        <v>485</v>
      </c>
      <c r="N45" s="3" t="s">
        <v>541</v>
      </c>
      <c r="O45" s="3" t="s">
        <v>291</v>
      </c>
    </row>
    <row r="46" ht="90" customHeight="1" spans="1:15">
      <c r="A46" s="3" t="s">
        <v>542</v>
      </c>
      <c r="B46" s="3" t="s">
        <v>69</v>
      </c>
      <c r="C46" s="3" t="s">
        <v>543</v>
      </c>
      <c r="D46" s="3" t="s">
        <v>544</v>
      </c>
      <c r="E46" s="3" t="s">
        <v>545</v>
      </c>
      <c r="F46" s="3" t="s">
        <v>546</v>
      </c>
      <c r="G46" s="3" t="s">
        <v>547</v>
      </c>
      <c r="H46" s="3" t="s">
        <v>548</v>
      </c>
      <c r="I46" s="3" t="s">
        <v>549</v>
      </c>
      <c r="J46" s="3" t="s">
        <v>550</v>
      </c>
      <c r="K46" s="3" t="s">
        <v>551</v>
      </c>
      <c r="L46" s="3" t="s">
        <v>145</v>
      </c>
      <c r="M46" s="3" t="s">
        <v>485</v>
      </c>
      <c r="N46" s="3" t="s">
        <v>552</v>
      </c>
      <c r="O46" s="3" t="s">
        <v>291</v>
      </c>
    </row>
    <row r="47" ht="90" customHeight="1" spans="1:15">
      <c r="A47" s="3" t="s">
        <v>553</v>
      </c>
      <c r="B47" s="3" t="s">
        <v>69</v>
      </c>
      <c r="C47" s="3" t="s">
        <v>554</v>
      </c>
      <c r="D47" s="3" t="s">
        <v>555</v>
      </c>
      <c r="E47" s="3" t="s">
        <v>556</v>
      </c>
      <c r="F47" s="3" t="s">
        <v>557</v>
      </c>
      <c r="G47" s="3" t="s">
        <v>558</v>
      </c>
      <c r="H47" s="3" t="s">
        <v>559</v>
      </c>
      <c r="I47" s="3" t="s">
        <v>560</v>
      </c>
      <c r="J47" s="3" t="s">
        <v>561</v>
      </c>
      <c r="K47" s="3" t="s">
        <v>562</v>
      </c>
      <c r="L47" s="3" t="s">
        <v>145</v>
      </c>
      <c r="M47" s="3" t="s">
        <v>485</v>
      </c>
      <c r="N47" s="3" t="s">
        <v>563</v>
      </c>
      <c r="O47" s="3" t="s">
        <v>291</v>
      </c>
    </row>
    <row r="48" ht="90" customHeight="1" spans="1:15">
      <c r="A48" s="3" t="s">
        <v>564</v>
      </c>
      <c r="B48" s="3" t="s">
        <v>70</v>
      </c>
      <c r="C48" s="3" t="s">
        <v>565</v>
      </c>
      <c r="D48" s="3" t="s">
        <v>566</v>
      </c>
      <c r="E48" s="3" t="s">
        <v>567</v>
      </c>
      <c r="F48" s="3" t="s">
        <v>568</v>
      </c>
      <c r="G48" s="3" t="s">
        <v>569</v>
      </c>
      <c r="H48" s="3" t="s">
        <v>570</v>
      </c>
      <c r="I48" s="3" t="s">
        <v>571</v>
      </c>
      <c r="J48" s="3" t="s">
        <v>572</v>
      </c>
      <c r="K48" s="3" t="s">
        <v>573</v>
      </c>
      <c r="L48" s="3" t="s">
        <v>111</v>
      </c>
      <c r="M48" s="3" t="s">
        <v>574</v>
      </c>
      <c r="N48" s="3" t="s">
        <v>575</v>
      </c>
      <c r="O48" s="3" t="s">
        <v>291</v>
      </c>
    </row>
    <row r="49" ht="90" customHeight="1" spans="1:15">
      <c r="A49" s="3" t="s">
        <v>576</v>
      </c>
      <c r="B49" s="3" t="s">
        <v>70</v>
      </c>
      <c r="C49" s="3" t="s">
        <v>577</v>
      </c>
      <c r="D49" s="3" t="s">
        <v>578</v>
      </c>
      <c r="E49" s="3" t="s">
        <v>579</v>
      </c>
      <c r="F49" s="3" t="s">
        <v>580</v>
      </c>
      <c r="G49" s="3" t="s">
        <v>581</v>
      </c>
      <c r="H49" s="3" t="s">
        <v>582</v>
      </c>
      <c r="I49" s="3" t="s">
        <v>583</v>
      </c>
      <c r="J49" s="3" t="s">
        <v>584</v>
      </c>
      <c r="K49" s="3" t="s">
        <v>585</v>
      </c>
      <c r="L49" s="3" t="s">
        <v>111</v>
      </c>
      <c r="M49" s="3" t="s">
        <v>574</v>
      </c>
      <c r="N49" s="3" t="s">
        <v>586</v>
      </c>
      <c r="O49" s="3" t="s">
        <v>291</v>
      </c>
    </row>
    <row r="50" ht="90" customHeight="1" spans="1:15">
      <c r="A50" s="3" t="s">
        <v>587</v>
      </c>
      <c r="B50" s="3" t="s">
        <v>70</v>
      </c>
      <c r="C50" s="3" t="s">
        <v>588</v>
      </c>
      <c r="D50" s="3" t="s">
        <v>589</v>
      </c>
      <c r="E50" s="3" t="s">
        <v>590</v>
      </c>
      <c r="F50" s="3" t="s">
        <v>591</v>
      </c>
      <c r="G50" s="3" t="s">
        <v>592</v>
      </c>
      <c r="H50" s="3" t="s">
        <v>593</v>
      </c>
      <c r="I50" s="3" t="s">
        <v>594</v>
      </c>
      <c r="J50" s="3" t="s">
        <v>595</v>
      </c>
      <c r="K50" s="3" t="s">
        <v>596</v>
      </c>
      <c r="L50" s="3" t="s">
        <v>111</v>
      </c>
      <c r="M50" s="3" t="s">
        <v>574</v>
      </c>
      <c r="N50" s="3" t="s">
        <v>597</v>
      </c>
      <c r="O50" s="3" t="s">
        <v>291</v>
      </c>
    </row>
    <row r="51" ht="90" customHeight="1" spans="1:15">
      <c r="A51" s="3" t="s">
        <v>598</v>
      </c>
      <c r="B51" s="3" t="s">
        <v>70</v>
      </c>
      <c r="C51" s="3" t="s">
        <v>599</v>
      </c>
      <c r="D51" s="3" t="s">
        <v>600</v>
      </c>
      <c r="E51" s="3" t="s">
        <v>601</v>
      </c>
      <c r="F51" s="3" t="s">
        <v>602</v>
      </c>
      <c r="G51" s="3" t="s">
        <v>603</v>
      </c>
      <c r="H51" s="3" t="s">
        <v>604</v>
      </c>
      <c r="I51" s="3" t="s">
        <v>605</v>
      </c>
      <c r="J51" s="3" t="s">
        <v>606</v>
      </c>
      <c r="K51" s="3" t="s">
        <v>607</v>
      </c>
      <c r="L51" s="3" t="s">
        <v>145</v>
      </c>
      <c r="M51" s="3" t="s">
        <v>574</v>
      </c>
      <c r="N51" s="3" t="s">
        <v>608</v>
      </c>
      <c r="O51" s="3" t="s">
        <v>291</v>
      </c>
    </row>
    <row r="52" ht="90" customHeight="1" spans="1:15">
      <c r="A52" s="3" t="s">
        <v>609</v>
      </c>
      <c r="B52" s="3" t="s">
        <v>70</v>
      </c>
      <c r="C52" s="3" t="s">
        <v>610</v>
      </c>
      <c r="D52" s="3" t="s">
        <v>611</v>
      </c>
      <c r="E52" s="3" t="s">
        <v>612</v>
      </c>
      <c r="F52" s="3" t="s">
        <v>613</v>
      </c>
      <c r="G52" s="3" t="s">
        <v>614</v>
      </c>
      <c r="H52" s="3" t="s">
        <v>615</v>
      </c>
      <c r="I52" s="3" t="s">
        <v>616</v>
      </c>
      <c r="J52" s="3" t="s">
        <v>617</v>
      </c>
      <c r="K52" s="3" t="s">
        <v>618</v>
      </c>
      <c r="L52" s="3" t="s">
        <v>145</v>
      </c>
      <c r="M52" s="3" t="s">
        <v>574</v>
      </c>
      <c r="N52" s="3" t="s">
        <v>619</v>
      </c>
      <c r="O52" s="3" t="s">
        <v>291</v>
      </c>
    </row>
    <row r="53" ht="90" customHeight="1" spans="1:15">
      <c r="A53" s="3" t="s">
        <v>620</v>
      </c>
      <c r="B53" s="3" t="s">
        <v>70</v>
      </c>
      <c r="C53" s="3" t="s">
        <v>621</v>
      </c>
      <c r="D53" s="3" t="s">
        <v>622</v>
      </c>
      <c r="E53" s="3" t="s">
        <v>623</v>
      </c>
      <c r="F53" s="3" t="s">
        <v>624</v>
      </c>
      <c r="G53" s="3" t="s">
        <v>625</v>
      </c>
      <c r="H53" s="3" t="s">
        <v>626</v>
      </c>
      <c r="I53" s="3" t="s">
        <v>627</v>
      </c>
      <c r="J53" s="3" t="s">
        <v>628</v>
      </c>
      <c r="K53" s="3" t="s">
        <v>629</v>
      </c>
      <c r="L53" s="3" t="s">
        <v>111</v>
      </c>
      <c r="M53" s="3" t="s">
        <v>574</v>
      </c>
      <c r="N53" s="3" t="s">
        <v>630</v>
      </c>
      <c r="O53" s="3" t="s">
        <v>291</v>
      </c>
    </row>
    <row r="54" ht="90" customHeight="1" spans="1:15">
      <c r="A54" s="3" t="s">
        <v>631</v>
      </c>
      <c r="B54" s="3" t="s">
        <v>70</v>
      </c>
      <c r="C54" s="3" t="s">
        <v>632</v>
      </c>
      <c r="D54" s="3" t="s">
        <v>633</v>
      </c>
      <c r="E54" s="3" t="s">
        <v>634</v>
      </c>
      <c r="F54" s="3" t="s">
        <v>635</v>
      </c>
      <c r="G54" s="3" t="s">
        <v>636</v>
      </c>
      <c r="H54" s="3" t="s">
        <v>637</v>
      </c>
      <c r="I54" s="3" t="s">
        <v>638</v>
      </c>
      <c r="J54" s="3" t="s">
        <v>639</v>
      </c>
      <c r="K54" s="3" t="s">
        <v>640</v>
      </c>
      <c r="L54" s="3" t="s">
        <v>111</v>
      </c>
      <c r="M54" s="3" t="s">
        <v>574</v>
      </c>
      <c r="N54" s="3" t="s">
        <v>641</v>
      </c>
      <c r="O54" s="3" t="s">
        <v>291</v>
      </c>
    </row>
    <row r="55" ht="90" customHeight="1" spans="1:15">
      <c r="A55" s="3" t="s">
        <v>642</v>
      </c>
      <c r="B55" s="3" t="s">
        <v>70</v>
      </c>
      <c r="C55" s="3" t="s">
        <v>643</v>
      </c>
      <c r="D55" s="3" t="s">
        <v>644</v>
      </c>
      <c r="E55" s="3" t="s">
        <v>645</v>
      </c>
      <c r="F55" s="3" t="s">
        <v>646</v>
      </c>
      <c r="G55" s="3" t="s">
        <v>647</v>
      </c>
      <c r="H55" s="3" t="s">
        <v>648</v>
      </c>
      <c r="I55" s="3" t="s">
        <v>649</v>
      </c>
      <c r="J55" s="3" t="s">
        <v>650</v>
      </c>
      <c r="K55" s="3" t="s">
        <v>651</v>
      </c>
      <c r="L55" s="3" t="s">
        <v>111</v>
      </c>
      <c r="M55" s="3" t="s">
        <v>574</v>
      </c>
      <c r="N55" s="3" t="s">
        <v>652</v>
      </c>
      <c r="O55" s="3" t="s">
        <v>291</v>
      </c>
    </row>
    <row r="56" ht="90" customHeight="1" spans="1:15">
      <c r="A56" s="3" t="s">
        <v>653</v>
      </c>
      <c r="B56" s="3" t="s">
        <v>70</v>
      </c>
      <c r="C56" s="3" t="s">
        <v>654</v>
      </c>
      <c r="D56" s="3" t="s">
        <v>655</v>
      </c>
      <c r="E56" s="3" t="s">
        <v>656</v>
      </c>
      <c r="F56" s="3" t="s">
        <v>657</v>
      </c>
      <c r="G56" s="3" t="s">
        <v>658</v>
      </c>
      <c r="H56" s="3" t="s">
        <v>659</v>
      </c>
      <c r="I56" s="3" t="s">
        <v>660</v>
      </c>
      <c r="J56" s="3" t="s">
        <v>661</v>
      </c>
      <c r="K56" s="3" t="s">
        <v>662</v>
      </c>
      <c r="L56" s="3" t="s">
        <v>145</v>
      </c>
      <c r="M56" s="3" t="s">
        <v>574</v>
      </c>
      <c r="N56" s="3" t="s">
        <v>663</v>
      </c>
      <c r="O56" s="3" t="s">
        <v>291</v>
      </c>
    </row>
    <row r="57" ht="90" customHeight="1" spans="1:15">
      <c r="A57" s="3" t="s">
        <v>664</v>
      </c>
      <c r="B57" s="3" t="s">
        <v>70</v>
      </c>
      <c r="C57" s="3" t="s">
        <v>665</v>
      </c>
      <c r="D57" s="3" t="s">
        <v>666</v>
      </c>
      <c r="E57" s="3" t="s">
        <v>667</v>
      </c>
      <c r="F57" s="3" t="s">
        <v>668</v>
      </c>
      <c r="G57" s="3" t="s">
        <v>669</v>
      </c>
      <c r="H57" s="3" t="s">
        <v>670</v>
      </c>
      <c r="I57" s="3" t="s">
        <v>671</v>
      </c>
      <c r="J57" s="3" t="s">
        <v>672</v>
      </c>
      <c r="K57" s="3" t="s">
        <v>673</v>
      </c>
      <c r="L57" s="3" t="s">
        <v>145</v>
      </c>
      <c r="M57" s="3" t="s">
        <v>574</v>
      </c>
      <c r="N57" s="3" t="s">
        <v>674</v>
      </c>
      <c r="O57" s="3" t="s">
        <v>291</v>
      </c>
    </row>
    <row r="58" ht="90" customHeight="1" spans="1:15">
      <c r="A58" s="3" t="s">
        <v>675</v>
      </c>
      <c r="B58" s="3" t="s">
        <v>71</v>
      </c>
      <c r="C58" s="3" t="s">
        <v>676</v>
      </c>
      <c r="D58" s="3" t="s">
        <v>677</v>
      </c>
      <c r="E58" s="3" t="s">
        <v>678</v>
      </c>
      <c r="F58" s="3" t="s">
        <v>679</v>
      </c>
      <c r="G58" s="3" t="s">
        <v>680</v>
      </c>
      <c r="H58" s="3" t="s">
        <v>681</v>
      </c>
      <c r="I58" s="3" t="s">
        <v>682</v>
      </c>
      <c r="J58" s="3" t="s">
        <v>683</v>
      </c>
      <c r="K58" s="3" t="s">
        <v>684</v>
      </c>
      <c r="L58" s="3" t="s">
        <v>145</v>
      </c>
      <c r="M58" s="3" t="s">
        <v>685</v>
      </c>
      <c r="N58" s="3" t="s">
        <v>686</v>
      </c>
      <c r="O58" s="3" t="s">
        <v>291</v>
      </c>
    </row>
    <row r="59" ht="90" customHeight="1" spans="1:15">
      <c r="A59" s="3" t="s">
        <v>687</v>
      </c>
      <c r="B59" s="3" t="s">
        <v>71</v>
      </c>
      <c r="C59" s="3" t="s">
        <v>688</v>
      </c>
      <c r="D59" s="3" t="s">
        <v>689</v>
      </c>
      <c r="E59" s="3" t="s">
        <v>690</v>
      </c>
      <c r="F59" s="3" t="s">
        <v>691</v>
      </c>
      <c r="G59" s="3" t="s">
        <v>692</v>
      </c>
      <c r="H59" s="3" t="s">
        <v>693</v>
      </c>
      <c r="I59" s="3" t="s">
        <v>694</v>
      </c>
      <c r="J59" s="3" t="s">
        <v>695</v>
      </c>
      <c r="K59" s="3" t="s">
        <v>696</v>
      </c>
      <c r="L59" s="3" t="s">
        <v>145</v>
      </c>
      <c r="M59" s="3" t="s">
        <v>685</v>
      </c>
      <c r="N59" s="3" t="s">
        <v>697</v>
      </c>
      <c r="O59" s="3" t="s">
        <v>291</v>
      </c>
    </row>
    <row r="60" ht="90" customHeight="1" spans="1:15">
      <c r="A60" s="3" t="s">
        <v>698</v>
      </c>
      <c r="B60" s="3" t="s">
        <v>71</v>
      </c>
      <c r="C60" s="3" t="s">
        <v>699</v>
      </c>
      <c r="D60" s="3" t="s">
        <v>700</v>
      </c>
      <c r="E60" s="3" t="s">
        <v>701</v>
      </c>
      <c r="F60" s="3" t="s">
        <v>702</v>
      </c>
      <c r="G60" s="3" t="s">
        <v>703</v>
      </c>
      <c r="H60" s="3" t="s">
        <v>704</v>
      </c>
      <c r="I60" s="3" t="s">
        <v>705</v>
      </c>
      <c r="J60" s="3" t="s">
        <v>706</v>
      </c>
      <c r="K60" s="3" t="s">
        <v>707</v>
      </c>
      <c r="L60" s="3" t="s">
        <v>145</v>
      </c>
      <c r="M60" s="3" t="s">
        <v>685</v>
      </c>
      <c r="N60" s="3" t="s">
        <v>708</v>
      </c>
      <c r="O60" s="3" t="s">
        <v>291</v>
      </c>
    </row>
    <row r="61" ht="90" customHeight="1" spans="1:15">
      <c r="A61" s="3" t="s">
        <v>709</v>
      </c>
      <c r="B61" s="3" t="s">
        <v>71</v>
      </c>
      <c r="C61" s="3" t="s">
        <v>710</v>
      </c>
      <c r="D61" s="3" t="s">
        <v>711</v>
      </c>
      <c r="E61" s="3" t="s">
        <v>712</v>
      </c>
      <c r="F61" s="3" t="s">
        <v>713</v>
      </c>
      <c r="G61" s="3" t="s">
        <v>714</v>
      </c>
      <c r="H61" s="3" t="s">
        <v>715</v>
      </c>
      <c r="I61" s="3" t="s">
        <v>716</v>
      </c>
      <c r="J61" s="3" t="s">
        <v>717</v>
      </c>
      <c r="K61" s="3" t="s">
        <v>718</v>
      </c>
      <c r="L61" s="3" t="s">
        <v>145</v>
      </c>
      <c r="M61" s="3" t="s">
        <v>685</v>
      </c>
      <c r="N61" s="3" t="s">
        <v>719</v>
      </c>
      <c r="O61" s="3" t="s">
        <v>291</v>
      </c>
    </row>
    <row r="62" ht="90" customHeight="1" spans="1:15">
      <c r="A62" s="3" t="s">
        <v>720</v>
      </c>
      <c r="B62" s="3" t="s">
        <v>71</v>
      </c>
      <c r="C62" s="3" t="s">
        <v>721</v>
      </c>
      <c r="D62" s="3" t="s">
        <v>722</v>
      </c>
      <c r="E62" s="3" t="s">
        <v>723</v>
      </c>
      <c r="F62" s="3" t="s">
        <v>724</v>
      </c>
      <c r="G62" s="3" t="s">
        <v>725</v>
      </c>
      <c r="H62" s="3" t="s">
        <v>726</v>
      </c>
      <c r="I62" s="3" t="s">
        <v>727</v>
      </c>
      <c r="J62" s="3" t="s">
        <v>728</v>
      </c>
      <c r="K62" s="3" t="s">
        <v>729</v>
      </c>
      <c r="L62" s="3" t="s">
        <v>145</v>
      </c>
      <c r="M62" s="3" t="s">
        <v>685</v>
      </c>
      <c r="N62" s="3" t="s">
        <v>730</v>
      </c>
      <c r="O62" s="3" t="s">
        <v>291</v>
      </c>
    </row>
    <row r="63" ht="90" customHeight="1" spans="1:15">
      <c r="A63" s="3" t="s">
        <v>731</v>
      </c>
      <c r="B63" s="3" t="s">
        <v>71</v>
      </c>
      <c r="C63" s="3" t="s">
        <v>732</v>
      </c>
      <c r="D63" s="3" t="s">
        <v>733</v>
      </c>
      <c r="E63" s="3" t="s">
        <v>734</v>
      </c>
      <c r="F63" s="3" t="s">
        <v>735</v>
      </c>
      <c r="G63" s="3" t="s">
        <v>736</v>
      </c>
      <c r="H63" s="3" t="s">
        <v>737</v>
      </c>
      <c r="I63" s="3" t="s">
        <v>738</v>
      </c>
      <c r="J63" s="3" t="s">
        <v>739</v>
      </c>
      <c r="K63" s="3" t="s">
        <v>740</v>
      </c>
      <c r="L63" s="3" t="s">
        <v>145</v>
      </c>
      <c r="M63" s="3" t="s">
        <v>685</v>
      </c>
      <c r="N63" s="3" t="s">
        <v>741</v>
      </c>
      <c r="O63" s="3" t="s">
        <v>291</v>
      </c>
    </row>
    <row r="64" ht="90" customHeight="1" spans="1:15">
      <c r="A64" s="3" t="s">
        <v>742</v>
      </c>
      <c r="B64" s="3" t="s">
        <v>71</v>
      </c>
      <c r="C64" s="3" t="s">
        <v>743</v>
      </c>
      <c r="D64" s="3" t="s">
        <v>744</v>
      </c>
      <c r="E64" s="3" t="s">
        <v>745</v>
      </c>
      <c r="F64" s="3" t="s">
        <v>746</v>
      </c>
      <c r="G64" s="3" t="s">
        <v>747</v>
      </c>
      <c r="H64" s="3" t="s">
        <v>748</v>
      </c>
      <c r="I64" s="3" t="s">
        <v>749</v>
      </c>
      <c r="J64" s="3" t="s">
        <v>750</v>
      </c>
      <c r="K64" s="3" t="s">
        <v>751</v>
      </c>
      <c r="L64" s="3" t="s">
        <v>145</v>
      </c>
      <c r="M64" s="3" t="s">
        <v>685</v>
      </c>
      <c r="N64" s="3" t="s">
        <v>752</v>
      </c>
      <c r="O64" s="3" t="s">
        <v>291</v>
      </c>
    </row>
    <row r="65" ht="90" customHeight="1" spans="1:15">
      <c r="A65" s="3" t="s">
        <v>753</v>
      </c>
      <c r="B65" s="3" t="s">
        <v>71</v>
      </c>
      <c r="C65" s="3" t="s">
        <v>754</v>
      </c>
      <c r="D65" s="3" t="s">
        <v>755</v>
      </c>
      <c r="E65" s="3" t="s">
        <v>756</v>
      </c>
      <c r="F65" s="3" t="s">
        <v>757</v>
      </c>
      <c r="G65" s="3" t="s">
        <v>758</v>
      </c>
      <c r="H65" s="3" t="s">
        <v>759</v>
      </c>
      <c r="I65" s="3" t="s">
        <v>760</v>
      </c>
      <c r="J65" s="3" t="s">
        <v>761</v>
      </c>
      <c r="K65" s="3" t="s">
        <v>762</v>
      </c>
      <c r="L65" s="3" t="s">
        <v>145</v>
      </c>
      <c r="M65" s="3" t="s">
        <v>685</v>
      </c>
      <c r="N65" s="3" t="s">
        <v>763</v>
      </c>
      <c r="O65" s="3" t="s">
        <v>291</v>
      </c>
    </row>
    <row r="66" ht="90" customHeight="1" spans="1:15">
      <c r="A66" s="3" t="s">
        <v>764</v>
      </c>
      <c r="B66" s="3" t="s">
        <v>72</v>
      </c>
      <c r="C66" s="3" t="s">
        <v>765</v>
      </c>
      <c r="D66" s="3" t="s">
        <v>766</v>
      </c>
      <c r="E66" s="3" t="s">
        <v>767</v>
      </c>
      <c r="F66" s="3" t="s">
        <v>768</v>
      </c>
      <c r="G66" s="3" t="s">
        <v>769</v>
      </c>
      <c r="H66" s="3" t="s">
        <v>770</v>
      </c>
      <c r="I66" s="3" t="s">
        <v>771</v>
      </c>
      <c r="J66" s="3" t="s">
        <v>772</v>
      </c>
      <c r="K66" s="3" t="s">
        <v>773</v>
      </c>
      <c r="L66" s="3" t="s">
        <v>145</v>
      </c>
      <c r="M66" s="3" t="s">
        <v>774</v>
      </c>
      <c r="N66" s="3" t="s">
        <v>775</v>
      </c>
      <c r="O66" s="3" t="s">
        <v>291</v>
      </c>
    </row>
    <row r="67" ht="90" customHeight="1" spans="1:15">
      <c r="A67" s="3" t="s">
        <v>776</v>
      </c>
      <c r="B67" s="3" t="s">
        <v>72</v>
      </c>
      <c r="C67" s="3" t="s">
        <v>777</v>
      </c>
      <c r="D67" s="3" t="s">
        <v>778</v>
      </c>
      <c r="E67" s="3" t="s">
        <v>779</v>
      </c>
      <c r="F67" s="3" t="s">
        <v>780</v>
      </c>
      <c r="G67" s="3" t="s">
        <v>781</v>
      </c>
      <c r="H67" s="3" t="s">
        <v>782</v>
      </c>
      <c r="I67" s="3" t="s">
        <v>783</v>
      </c>
      <c r="J67" s="3" t="s">
        <v>784</v>
      </c>
      <c r="K67" s="3" t="s">
        <v>785</v>
      </c>
      <c r="L67" s="3" t="s">
        <v>111</v>
      </c>
      <c r="M67" s="3" t="s">
        <v>774</v>
      </c>
      <c r="N67" s="3" t="s">
        <v>786</v>
      </c>
      <c r="O67" s="3" t="s">
        <v>291</v>
      </c>
    </row>
    <row r="68" ht="90" customHeight="1" spans="1:15">
      <c r="A68" s="3" t="s">
        <v>787</v>
      </c>
      <c r="B68" s="3" t="s">
        <v>72</v>
      </c>
      <c r="C68" s="3" t="s">
        <v>788</v>
      </c>
      <c r="D68" s="3" t="s">
        <v>789</v>
      </c>
      <c r="E68" s="3" t="s">
        <v>790</v>
      </c>
      <c r="F68" s="3" t="s">
        <v>791</v>
      </c>
      <c r="G68" s="3" t="s">
        <v>792</v>
      </c>
      <c r="H68" s="3" t="s">
        <v>793</v>
      </c>
      <c r="I68" s="3" t="s">
        <v>794</v>
      </c>
      <c r="J68" s="3" t="s">
        <v>795</v>
      </c>
      <c r="K68" s="3" t="s">
        <v>796</v>
      </c>
      <c r="L68" s="3" t="s">
        <v>145</v>
      </c>
      <c r="M68" s="3" t="s">
        <v>774</v>
      </c>
      <c r="N68" s="3" t="s">
        <v>797</v>
      </c>
      <c r="O68" s="3" t="s">
        <v>291</v>
      </c>
    </row>
    <row r="69" ht="90" customHeight="1" spans="1:15">
      <c r="A69" s="3" t="s">
        <v>798</v>
      </c>
      <c r="B69" s="3" t="s">
        <v>72</v>
      </c>
      <c r="C69" s="3" t="s">
        <v>799</v>
      </c>
      <c r="D69" s="3" t="s">
        <v>800</v>
      </c>
      <c r="E69" s="3" t="s">
        <v>801</v>
      </c>
      <c r="F69" s="3" t="s">
        <v>802</v>
      </c>
      <c r="G69" s="3" t="s">
        <v>803</v>
      </c>
      <c r="H69" s="3" t="s">
        <v>804</v>
      </c>
      <c r="I69" s="3" t="s">
        <v>805</v>
      </c>
      <c r="J69" s="3" t="s">
        <v>806</v>
      </c>
      <c r="K69" s="3" t="s">
        <v>807</v>
      </c>
      <c r="L69" s="3" t="s">
        <v>111</v>
      </c>
      <c r="M69" s="3" t="s">
        <v>774</v>
      </c>
      <c r="N69" s="3" t="s">
        <v>808</v>
      </c>
      <c r="O69" s="3" t="s">
        <v>291</v>
      </c>
    </row>
    <row r="70" ht="90" customHeight="1" spans="1:15">
      <c r="A70" s="3" t="s">
        <v>809</v>
      </c>
      <c r="B70" s="3" t="s">
        <v>72</v>
      </c>
      <c r="C70" s="3" t="s">
        <v>810</v>
      </c>
      <c r="D70" s="3" t="s">
        <v>811</v>
      </c>
      <c r="E70" s="3" t="s">
        <v>812</v>
      </c>
      <c r="F70" s="3" t="s">
        <v>813</v>
      </c>
      <c r="G70" s="3" t="s">
        <v>814</v>
      </c>
      <c r="H70" s="3" t="s">
        <v>815</v>
      </c>
      <c r="I70" s="3" t="s">
        <v>816</v>
      </c>
      <c r="J70" s="3" t="s">
        <v>817</v>
      </c>
      <c r="K70" s="3" t="s">
        <v>818</v>
      </c>
      <c r="L70" s="3" t="s">
        <v>145</v>
      </c>
      <c r="M70" s="3" t="s">
        <v>774</v>
      </c>
      <c r="N70" s="3" t="s">
        <v>819</v>
      </c>
      <c r="O70" s="3" t="s">
        <v>291</v>
      </c>
    </row>
    <row r="71" ht="90" customHeight="1" spans="1:15">
      <c r="A71" s="3" t="s">
        <v>820</v>
      </c>
      <c r="B71" s="3" t="s">
        <v>72</v>
      </c>
      <c r="C71" s="3" t="s">
        <v>821</v>
      </c>
      <c r="D71" s="3" t="s">
        <v>822</v>
      </c>
      <c r="E71" s="3" t="s">
        <v>823</v>
      </c>
      <c r="F71" s="3" t="s">
        <v>824</v>
      </c>
      <c r="G71" s="3" t="s">
        <v>825</v>
      </c>
      <c r="H71" s="3" t="s">
        <v>826</v>
      </c>
      <c r="I71" s="3" t="s">
        <v>827</v>
      </c>
      <c r="J71" s="3" t="s">
        <v>828</v>
      </c>
      <c r="K71" s="3" t="s">
        <v>829</v>
      </c>
      <c r="L71" s="3" t="s">
        <v>145</v>
      </c>
      <c r="M71" s="3" t="s">
        <v>774</v>
      </c>
      <c r="N71" s="3" t="s">
        <v>830</v>
      </c>
      <c r="O71" s="3" t="s">
        <v>291</v>
      </c>
    </row>
    <row r="72" ht="90" customHeight="1" spans="1:15">
      <c r="A72" s="3" t="s">
        <v>831</v>
      </c>
      <c r="B72" s="3" t="s">
        <v>72</v>
      </c>
      <c r="C72" s="3" t="s">
        <v>832</v>
      </c>
      <c r="D72" s="3" t="s">
        <v>833</v>
      </c>
      <c r="E72" s="3" t="s">
        <v>834</v>
      </c>
      <c r="F72" s="3" t="s">
        <v>835</v>
      </c>
      <c r="G72" s="3" t="s">
        <v>836</v>
      </c>
      <c r="H72" s="3" t="s">
        <v>837</v>
      </c>
      <c r="I72" s="3" t="s">
        <v>838</v>
      </c>
      <c r="J72" s="3" t="s">
        <v>839</v>
      </c>
      <c r="K72" s="3" t="s">
        <v>840</v>
      </c>
      <c r="L72" s="3" t="s">
        <v>145</v>
      </c>
      <c r="M72" s="3" t="s">
        <v>774</v>
      </c>
      <c r="N72" s="3" t="s">
        <v>841</v>
      </c>
      <c r="O72" s="3" t="s">
        <v>291</v>
      </c>
    </row>
    <row r="73" ht="90" customHeight="1" spans="1:15">
      <c r="A73" s="3" t="s">
        <v>842</v>
      </c>
      <c r="B73" s="3" t="s">
        <v>72</v>
      </c>
      <c r="C73" s="3" t="s">
        <v>843</v>
      </c>
      <c r="D73" s="3" t="s">
        <v>844</v>
      </c>
      <c r="E73" s="3" t="s">
        <v>845</v>
      </c>
      <c r="F73" s="3" t="s">
        <v>846</v>
      </c>
      <c r="G73" s="3" t="s">
        <v>847</v>
      </c>
      <c r="H73" s="3" t="s">
        <v>848</v>
      </c>
      <c r="I73" s="3" t="s">
        <v>849</v>
      </c>
      <c r="J73" s="3" t="s">
        <v>850</v>
      </c>
      <c r="K73" s="3" t="s">
        <v>851</v>
      </c>
      <c r="L73" s="3" t="s">
        <v>145</v>
      </c>
      <c r="M73" s="3" t="s">
        <v>774</v>
      </c>
      <c r="N73" s="3" t="s">
        <v>852</v>
      </c>
      <c r="O73" s="3" t="s">
        <v>291</v>
      </c>
    </row>
    <row r="74" ht="90" customHeight="1" spans="1:15">
      <c r="A74" s="3" t="s">
        <v>853</v>
      </c>
      <c r="B74" s="3" t="s">
        <v>73</v>
      </c>
      <c r="C74" s="3" t="s">
        <v>854</v>
      </c>
      <c r="D74" s="3" t="s">
        <v>855</v>
      </c>
      <c r="E74" s="3" t="s">
        <v>856</v>
      </c>
      <c r="F74" s="3" t="s">
        <v>857</v>
      </c>
      <c r="G74" s="3" t="s">
        <v>858</v>
      </c>
      <c r="H74" s="3" t="s">
        <v>859</v>
      </c>
      <c r="I74" s="3" t="s">
        <v>860</v>
      </c>
      <c r="J74" s="3" t="s">
        <v>861</v>
      </c>
      <c r="K74" s="3" t="s">
        <v>862</v>
      </c>
      <c r="L74" s="3" t="s">
        <v>111</v>
      </c>
      <c r="M74" s="3" t="s">
        <v>863</v>
      </c>
      <c r="N74" s="3" t="s">
        <v>864</v>
      </c>
      <c r="O74" s="3" t="s">
        <v>114</v>
      </c>
    </row>
    <row r="75" ht="90" customHeight="1" spans="1:15">
      <c r="A75" s="3" t="s">
        <v>865</v>
      </c>
      <c r="B75" s="3" t="s">
        <v>73</v>
      </c>
      <c r="C75" s="3" t="s">
        <v>866</v>
      </c>
      <c r="D75" s="3" t="s">
        <v>867</v>
      </c>
      <c r="E75" s="3" t="s">
        <v>868</v>
      </c>
      <c r="F75" s="3" t="s">
        <v>869</v>
      </c>
      <c r="G75" s="3" t="s">
        <v>870</v>
      </c>
      <c r="H75" s="3" t="s">
        <v>871</v>
      </c>
      <c r="I75" s="3" t="s">
        <v>872</v>
      </c>
      <c r="J75" s="3" t="s">
        <v>873</v>
      </c>
      <c r="K75" s="3" t="s">
        <v>874</v>
      </c>
      <c r="L75" s="3" t="s">
        <v>111</v>
      </c>
      <c r="M75" s="3" t="s">
        <v>863</v>
      </c>
      <c r="N75" s="3" t="s">
        <v>875</v>
      </c>
      <c r="O75" s="3" t="s">
        <v>114</v>
      </c>
    </row>
    <row r="76" ht="90" customHeight="1" spans="1:15">
      <c r="A76" s="3" t="s">
        <v>876</v>
      </c>
      <c r="B76" s="3" t="s">
        <v>73</v>
      </c>
      <c r="C76" s="3" t="s">
        <v>877</v>
      </c>
      <c r="D76" s="3" t="s">
        <v>878</v>
      </c>
      <c r="E76" s="3" t="s">
        <v>879</v>
      </c>
      <c r="F76" s="3" t="s">
        <v>880</v>
      </c>
      <c r="G76" s="3" t="s">
        <v>881</v>
      </c>
      <c r="H76" s="3" t="s">
        <v>882</v>
      </c>
      <c r="I76" s="3" t="s">
        <v>883</v>
      </c>
      <c r="J76" s="3" t="s">
        <v>884</v>
      </c>
      <c r="K76" s="3" t="s">
        <v>885</v>
      </c>
      <c r="L76" s="3" t="s">
        <v>111</v>
      </c>
      <c r="M76" s="3" t="s">
        <v>863</v>
      </c>
      <c r="N76" s="3" t="s">
        <v>886</v>
      </c>
      <c r="O76" s="3" t="s">
        <v>114</v>
      </c>
    </row>
    <row r="77" ht="90" customHeight="1" spans="1:15">
      <c r="A77" s="3" t="s">
        <v>887</v>
      </c>
      <c r="B77" s="3" t="s">
        <v>73</v>
      </c>
      <c r="C77" s="3" t="s">
        <v>888</v>
      </c>
      <c r="D77" s="3" t="s">
        <v>889</v>
      </c>
      <c r="E77" s="3" t="s">
        <v>890</v>
      </c>
      <c r="F77" s="3" t="s">
        <v>891</v>
      </c>
      <c r="G77" s="3" t="s">
        <v>892</v>
      </c>
      <c r="H77" s="3" t="s">
        <v>893</v>
      </c>
      <c r="I77" s="3" t="s">
        <v>894</v>
      </c>
      <c r="J77" s="3" t="s">
        <v>895</v>
      </c>
      <c r="K77" s="3" t="s">
        <v>896</v>
      </c>
      <c r="L77" s="3" t="s">
        <v>111</v>
      </c>
      <c r="M77" s="3" t="s">
        <v>863</v>
      </c>
      <c r="N77" s="3" t="s">
        <v>897</v>
      </c>
      <c r="O77" s="3" t="s">
        <v>114</v>
      </c>
    </row>
    <row r="78" ht="90" customHeight="1" spans="1:15">
      <c r="A78" s="3" t="s">
        <v>898</v>
      </c>
      <c r="B78" s="3" t="s">
        <v>73</v>
      </c>
      <c r="C78" s="3" t="s">
        <v>899</v>
      </c>
      <c r="D78" s="3" t="s">
        <v>900</v>
      </c>
      <c r="E78" s="3" t="s">
        <v>901</v>
      </c>
      <c r="F78" s="3" t="s">
        <v>902</v>
      </c>
      <c r="G78" s="3" t="s">
        <v>903</v>
      </c>
      <c r="H78" s="3" t="s">
        <v>904</v>
      </c>
      <c r="I78" s="3" t="s">
        <v>905</v>
      </c>
      <c r="J78" s="3" t="s">
        <v>906</v>
      </c>
      <c r="K78" s="3" t="s">
        <v>907</v>
      </c>
      <c r="L78" s="3" t="s">
        <v>145</v>
      </c>
      <c r="M78" s="3" t="s">
        <v>863</v>
      </c>
      <c r="N78" s="3" t="s">
        <v>908</v>
      </c>
      <c r="O78" s="3" t="s">
        <v>114</v>
      </c>
    </row>
    <row r="79" ht="90" customHeight="1" spans="1:15">
      <c r="A79" s="3" t="s">
        <v>909</v>
      </c>
      <c r="B79" s="3" t="s">
        <v>73</v>
      </c>
      <c r="C79" s="3" t="s">
        <v>910</v>
      </c>
      <c r="D79" s="3" t="s">
        <v>911</v>
      </c>
      <c r="E79" s="3" t="s">
        <v>912</v>
      </c>
      <c r="F79" s="3" t="s">
        <v>913</v>
      </c>
      <c r="G79" s="3" t="s">
        <v>914</v>
      </c>
      <c r="H79" s="3" t="s">
        <v>915</v>
      </c>
      <c r="I79" s="3" t="s">
        <v>916</v>
      </c>
      <c r="J79" s="3" t="s">
        <v>917</v>
      </c>
      <c r="K79" s="3" t="s">
        <v>918</v>
      </c>
      <c r="L79" s="3" t="s">
        <v>111</v>
      </c>
      <c r="M79" s="3" t="s">
        <v>863</v>
      </c>
      <c r="N79" s="3" t="s">
        <v>919</v>
      </c>
      <c r="O79" s="3" t="s">
        <v>114</v>
      </c>
    </row>
    <row r="80" ht="90" customHeight="1" spans="1:15">
      <c r="A80" s="3" t="s">
        <v>920</v>
      </c>
      <c r="B80" s="3" t="s">
        <v>73</v>
      </c>
      <c r="C80" s="3" t="s">
        <v>921</v>
      </c>
      <c r="D80" s="3" t="s">
        <v>922</v>
      </c>
      <c r="E80" s="3" t="s">
        <v>923</v>
      </c>
      <c r="F80" s="3" t="s">
        <v>924</v>
      </c>
      <c r="G80" s="3" t="s">
        <v>925</v>
      </c>
      <c r="H80" s="3" t="s">
        <v>926</v>
      </c>
      <c r="I80" s="3" t="s">
        <v>927</v>
      </c>
      <c r="J80" s="3" t="s">
        <v>928</v>
      </c>
      <c r="K80" s="3" t="s">
        <v>929</v>
      </c>
      <c r="L80" s="3" t="s">
        <v>145</v>
      </c>
      <c r="M80" s="3" t="s">
        <v>863</v>
      </c>
      <c r="N80" s="3" t="s">
        <v>930</v>
      </c>
      <c r="O80" s="3" t="s">
        <v>114</v>
      </c>
    </row>
    <row r="81" ht="90" customHeight="1" spans="1:15">
      <c r="A81" s="3" t="s">
        <v>931</v>
      </c>
      <c r="B81" s="3" t="s">
        <v>73</v>
      </c>
      <c r="C81" s="3" t="s">
        <v>932</v>
      </c>
      <c r="D81" s="3" t="s">
        <v>933</v>
      </c>
      <c r="E81" s="3" t="s">
        <v>934</v>
      </c>
      <c r="F81" s="3" t="s">
        <v>935</v>
      </c>
      <c r="G81" s="3" t="s">
        <v>936</v>
      </c>
      <c r="H81" s="3" t="s">
        <v>937</v>
      </c>
      <c r="I81" s="3" t="s">
        <v>938</v>
      </c>
      <c r="J81" s="3" t="s">
        <v>939</v>
      </c>
      <c r="K81" s="3" t="s">
        <v>940</v>
      </c>
      <c r="L81" s="3" t="s">
        <v>145</v>
      </c>
      <c r="M81" s="3" t="s">
        <v>863</v>
      </c>
      <c r="N81" s="3" t="s">
        <v>941</v>
      </c>
      <c r="O81" s="3" t="s">
        <v>114</v>
      </c>
    </row>
    <row r="82" ht="90" customHeight="1" spans="1:15">
      <c r="A82" s="3" t="s">
        <v>942</v>
      </c>
      <c r="B82" s="3" t="s">
        <v>74</v>
      </c>
      <c r="C82" s="3" t="s">
        <v>943</v>
      </c>
      <c r="D82" s="3" t="s">
        <v>944</v>
      </c>
      <c r="E82" s="3" t="s">
        <v>945</v>
      </c>
      <c r="F82" s="3" t="s">
        <v>946</v>
      </c>
      <c r="G82" s="3" t="s">
        <v>947</v>
      </c>
      <c r="H82" s="3" t="s">
        <v>948</v>
      </c>
      <c r="I82" s="3" t="s">
        <v>949</v>
      </c>
      <c r="J82" s="3" t="s">
        <v>950</v>
      </c>
      <c r="K82" s="3" t="s">
        <v>951</v>
      </c>
      <c r="L82" s="3" t="s">
        <v>111</v>
      </c>
      <c r="M82" s="3" t="s">
        <v>952</v>
      </c>
      <c r="N82" s="3" t="s">
        <v>953</v>
      </c>
      <c r="O82" s="3" t="s">
        <v>954</v>
      </c>
    </row>
    <row r="83" ht="90" customHeight="1" spans="1:15">
      <c r="A83" s="3" t="s">
        <v>955</v>
      </c>
      <c r="B83" s="3" t="s">
        <v>74</v>
      </c>
      <c r="C83" s="3" t="s">
        <v>956</v>
      </c>
      <c r="D83" s="3" t="s">
        <v>957</v>
      </c>
      <c r="E83" s="3" t="s">
        <v>958</v>
      </c>
      <c r="F83" s="3" t="s">
        <v>959</v>
      </c>
      <c r="G83" s="3" t="s">
        <v>960</v>
      </c>
      <c r="H83" s="3" t="s">
        <v>961</v>
      </c>
      <c r="I83" s="3" t="s">
        <v>962</v>
      </c>
      <c r="J83" s="3" t="s">
        <v>963</v>
      </c>
      <c r="K83" s="3" t="s">
        <v>964</v>
      </c>
      <c r="L83" s="3" t="s">
        <v>145</v>
      </c>
      <c r="M83" s="3" t="s">
        <v>952</v>
      </c>
      <c r="N83" s="3" t="s">
        <v>965</v>
      </c>
      <c r="O83" s="3" t="s">
        <v>954</v>
      </c>
    </row>
    <row r="84" ht="90" customHeight="1" spans="1:15">
      <c r="A84" s="3" t="s">
        <v>966</v>
      </c>
      <c r="B84" s="3" t="s">
        <v>74</v>
      </c>
      <c r="C84" s="3" t="s">
        <v>967</v>
      </c>
      <c r="D84" s="3" t="s">
        <v>968</v>
      </c>
      <c r="E84" s="3" t="s">
        <v>969</v>
      </c>
      <c r="F84" s="3" t="s">
        <v>970</v>
      </c>
      <c r="G84" s="3" t="s">
        <v>971</v>
      </c>
      <c r="H84" s="3" t="s">
        <v>972</v>
      </c>
      <c r="I84" s="3" t="s">
        <v>973</v>
      </c>
      <c r="J84" s="3" t="s">
        <v>974</v>
      </c>
      <c r="K84" s="3" t="s">
        <v>975</v>
      </c>
      <c r="L84" s="3" t="s">
        <v>145</v>
      </c>
      <c r="M84" s="3" t="s">
        <v>952</v>
      </c>
      <c r="N84" s="3" t="s">
        <v>976</v>
      </c>
      <c r="O84" s="3" t="s">
        <v>954</v>
      </c>
    </row>
    <row r="85" ht="90" customHeight="1" spans="1:15">
      <c r="A85" s="3" t="s">
        <v>977</v>
      </c>
      <c r="B85" s="3" t="s">
        <v>74</v>
      </c>
      <c r="C85" s="3" t="s">
        <v>978</v>
      </c>
      <c r="D85" s="3" t="s">
        <v>979</v>
      </c>
      <c r="E85" s="3" t="s">
        <v>980</v>
      </c>
      <c r="F85" s="3" t="s">
        <v>981</v>
      </c>
      <c r="G85" s="3" t="s">
        <v>982</v>
      </c>
      <c r="H85" s="3" t="s">
        <v>983</v>
      </c>
      <c r="I85" s="3" t="s">
        <v>984</v>
      </c>
      <c r="J85" s="3" t="s">
        <v>985</v>
      </c>
      <c r="K85" s="3" t="s">
        <v>986</v>
      </c>
      <c r="L85" s="3" t="s">
        <v>145</v>
      </c>
      <c r="M85" s="3" t="s">
        <v>952</v>
      </c>
      <c r="N85" s="3" t="s">
        <v>987</v>
      </c>
      <c r="O85" s="3" t="s">
        <v>954</v>
      </c>
    </row>
    <row r="86" ht="90" customHeight="1" spans="1:15">
      <c r="A86" s="3" t="s">
        <v>988</v>
      </c>
      <c r="B86" s="3" t="s">
        <v>74</v>
      </c>
      <c r="C86" s="3" t="s">
        <v>989</v>
      </c>
      <c r="D86" s="3" t="s">
        <v>990</v>
      </c>
      <c r="E86" s="3" t="s">
        <v>991</v>
      </c>
      <c r="F86" s="3" t="s">
        <v>992</v>
      </c>
      <c r="G86" s="3" t="s">
        <v>993</v>
      </c>
      <c r="H86" s="3" t="s">
        <v>994</v>
      </c>
      <c r="I86" s="3" t="s">
        <v>995</v>
      </c>
      <c r="J86" s="3" t="s">
        <v>996</v>
      </c>
      <c r="K86" s="3" t="s">
        <v>997</v>
      </c>
      <c r="L86" s="3" t="s">
        <v>145</v>
      </c>
      <c r="M86" s="3" t="s">
        <v>952</v>
      </c>
      <c r="N86" s="3" t="s">
        <v>998</v>
      </c>
      <c r="O86" s="3" t="s">
        <v>954</v>
      </c>
    </row>
    <row r="87" ht="90" customHeight="1" spans="1:15">
      <c r="A87" s="3" t="s">
        <v>999</v>
      </c>
      <c r="B87" s="3" t="s">
        <v>74</v>
      </c>
      <c r="C87" s="3" t="s">
        <v>1000</v>
      </c>
      <c r="D87" s="3" t="s">
        <v>1001</v>
      </c>
      <c r="E87" s="3" t="s">
        <v>1002</v>
      </c>
      <c r="F87" s="3" t="s">
        <v>1003</v>
      </c>
      <c r="G87" s="3" t="s">
        <v>1004</v>
      </c>
      <c r="H87" s="3" t="s">
        <v>1005</v>
      </c>
      <c r="I87" s="3" t="s">
        <v>1006</v>
      </c>
      <c r="J87" s="3" t="s">
        <v>1007</v>
      </c>
      <c r="K87" s="3" t="s">
        <v>1008</v>
      </c>
      <c r="L87" s="3" t="s">
        <v>145</v>
      </c>
      <c r="M87" s="3" t="s">
        <v>952</v>
      </c>
      <c r="N87" s="3" t="s">
        <v>1009</v>
      </c>
      <c r="O87" s="3" t="s">
        <v>954</v>
      </c>
    </row>
    <row r="88" ht="90" customHeight="1" spans="1:15">
      <c r="A88" s="3" t="s">
        <v>1010</v>
      </c>
      <c r="B88" s="3" t="s">
        <v>74</v>
      </c>
      <c r="C88" s="3" t="s">
        <v>1011</v>
      </c>
      <c r="D88" s="3" t="s">
        <v>1012</v>
      </c>
      <c r="E88" s="3" t="s">
        <v>1013</v>
      </c>
      <c r="F88" s="3" t="s">
        <v>1014</v>
      </c>
      <c r="G88" s="3" t="s">
        <v>1015</v>
      </c>
      <c r="H88" s="3" t="s">
        <v>1016</v>
      </c>
      <c r="I88" s="3" t="s">
        <v>1017</v>
      </c>
      <c r="J88" s="3" t="s">
        <v>1018</v>
      </c>
      <c r="K88" s="3" t="s">
        <v>1019</v>
      </c>
      <c r="L88" s="3" t="s">
        <v>145</v>
      </c>
      <c r="M88" s="3" t="s">
        <v>952</v>
      </c>
      <c r="N88" s="3" t="s">
        <v>1020</v>
      </c>
      <c r="O88" s="3" t="s">
        <v>954</v>
      </c>
    </row>
    <row r="89" ht="90" customHeight="1" spans="1:15">
      <c r="A89" s="3" t="s">
        <v>1021</v>
      </c>
      <c r="B89" s="3" t="s">
        <v>74</v>
      </c>
      <c r="C89" s="3" t="s">
        <v>1022</v>
      </c>
      <c r="D89" s="3" t="s">
        <v>1023</v>
      </c>
      <c r="E89" s="3" t="s">
        <v>1024</v>
      </c>
      <c r="F89" s="3" t="s">
        <v>1025</v>
      </c>
      <c r="G89" s="3" t="s">
        <v>1026</v>
      </c>
      <c r="H89" s="3" t="s">
        <v>1027</v>
      </c>
      <c r="I89" s="3" t="s">
        <v>1028</v>
      </c>
      <c r="J89" s="3" t="s">
        <v>1029</v>
      </c>
      <c r="K89" s="3" t="s">
        <v>1030</v>
      </c>
      <c r="L89" s="3" t="s">
        <v>145</v>
      </c>
      <c r="M89" s="3" t="s">
        <v>952</v>
      </c>
      <c r="N89" s="3" t="s">
        <v>1031</v>
      </c>
      <c r="O89" s="3" t="s">
        <v>954</v>
      </c>
    </row>
  </sheetData>
  <mergeCells count="2">
    <mergeCell ref="A1:O1"/>
    <mergeCell ref="A2:O3"/>
  </mergeCells>
  <pageMargins left="0.7" right="0.7" top="0.75" bottom="0.75" header="0.3" footer="0.3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9"/>
  <sheetViews>
    <sheetView showGridLines="0" workbookViewId="0">
      <pane xSplit="3" ySplit="5" topLeftCell="M88" activePane="bottomRight" state="frozen"/>
      <selection/>
      <selection pane="topRight"/>
      <selection pane="bottomLeft"/>
      <selection pane="bottomRight" activeCell="P88" sqref="P88"/>
    </sheetView>
  </sheetViews>
  <sheetFormatPr defaultColWidth="9" defaultRowHeight="16.8"/>
  <cols>
    <col min="1" max="1" width="12" customWidth="1"/>
    <col min="2" max="2" width="23" customWidth="1"/>
    <col min="3" max="3" width="30" customWidth="1"/>
    <col min="4" max="4" width="13" customWidth="1"/>
    <col min="5" max="5" width="12" customWidth="1"/>
    <col min="6" max="7" width="14" customWidth="1"/>
    <col min="8" max="8" width="15" customWidth="1"/>
    <col min="9" max="9" width="14" customWidth="1"/>
    <col min="10" max="10" width="66" customWidth="1"/>
    <col min="11" max="11" width="45" customWidth="1"/>
    <col min="12" max="12" width="26" customWidth="1"/>
    <col min="13" max="13" width="20" customWidth="1"/>
    <col min="14" max="14" width="18" customWidth="1"/>
    <col min="15" max="16" width="22" customWidth="1"/>
    <col min="17" max="17" width="16" customWidth="1"/>
    <col min="18" max="19" width="15" customWidth="1"/>
    <col min="20" max="20" width="28" customWidth="1"/>
    <col min="21" max="21" width="47" customWidth="1"/>
    <col min="22" max="22" width="16" customWidth="1"/>
    <col min="23" max="23" width="25" customWidth="1"/>
    <col min="24" max="24" width="66" customWidth="1"/>
  </cols>
  <sheetData>
    <row r="1" ht="38" customHeight="1" spans="1:24">
      <c r="A1" s="1" t="s">
        <v>1032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3" customHeight="1" spans="1:24">
      <c r="A2" s="2" t="s">
        <v>1033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23" customHeight="1" spans="1:2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42" customHeight="1" spans="1:24">
      <c r="A5" s="4" t="s">
        <v>86</v>
      </c>
      <c r="B5" s="4" t="s">
        <v>87</v>
      </c>
      <c r="C5" s="4" t="s">
        <v>88</v>
      </c>
      <c r="D5" s="4" t="s">
        <v>1034</v>
      </c>
      <c r="E5" s="4" t="s">
        <v>97</v>
      </c>
      <c r="F5" s="4" t="s">
        <v>1035</v>
      </c>
      <c r="G5" s="4" t="s">
        <v>1036</v>
      </c>
      <c r="H5" s="4" t="s">
        <v>1037</v>
      </c>
      <c r="I5" s="4" t="s">
        <v>1038</v>
      </c>
      <c r="J5" s="4" t="s">
        <v>1039</v>
      </c>
      <c r="K5" s="4" t="s">
        <v>1040</v>
      </c>
      <c r="L5" s="4" t="s">
        <v>1041</v>
      </c>
      <c r="M5" s="4" t="s">
        <v>1042</v>
      </c>
      <c r="N5" s="4" t="s">
        <v>1043</v>
      </c>
      <c r="O5" s="4" t="s">
        <v>1044</v>
      </c>
      <c r="P5" s="4" t="s">
        <v>1045</v>
      </c>
      <c r="Q5" s="4" t="s">
        <v>1046</v>
      </c>
      <c r="R5" s="4" t="s">
        <v>1047</v>
      </c>
      <c r="S5" s="4" t="s">
        <v>1048</v>
      </c>
      <c r="T5" s="4" t="s">
        <v>1049</v>
      </c>
      <c r="U5" s="4" t="s">
        <v>1050</v>
      </c>
      <c r="V5" s="4" t="s">
        <v>1051</v>
      </c>
      <c r="W5" s="4" t="s">
        <v>1052</v>
      </c>
      <c r="X5" s="4" t="s">
        <v>1053</v>
      </c>
    </row>
    <row r="6" ht="152" customHeight="1" spans="1:24">
      <c r="A6" s="3" t="s">
        <v>101</v>
      </c>
      <c r="B6" s="3" t="s">
        <v>64</v>
      </c>
      <c r="C6" s="3" t="s">
        <v>102</v>
      </c>
      <c r="D6" s="24">
        <f>VLOOKUP(B6,'01 参数'!$A$14:$B$23,2,FALSE)/COUNTIF($B$6:$B$89,B6)</f>
        <v>0.75</v>
      </c>
      <c r="E6" s="3" t="s">
        <v>111</v>
      </c>
      <c r="F6" s="10" t="s">
        <v>1054</v>
      </c>
      <c r="G6" s="10">
        <v>1</v>
      </c>
      <c r="H6" s="10">
        <v>3</v>
      </c>
      <c r="I6" s="10" t="s">
        <v>1055</v>
      </c>
      <c r="J6" s="10" t="s">
        <v>1056</v>
      </c>
      <c r="K6" s="10"/>
      <c r="L6" s="10" t="s">
        <v>1057</v>
      </c>
      <c r="M6" s="11">
        <v>46310</v>
      </c>
      <c r="N6" s="25" t="s">
        <v>61</v>
      </c>
      <c r="O6" s="10" t="s">
        <v>76</v>
      </c>
      <c r="P6" s="9" t="str">
        <f>IF(O6="资料判定完成",IF(AND(F6="适用",AND(ISNUMBER(G6),G6&gt;=0,G6&lt;=5,MOD(IF(ISNUMBER(G6),G6,0),1)=0),J6&lt;&gt;"",X6&lt;&gt;"",L6&lt;&gt;"",ISNUMBER(M6),U6&lt;&gt;""),"资料已判定","资料待补齐"),IF(OR(O6="质量待访",O6="待补证"),"未赋分",IF(F6="不适用",IF(E6="是","关键基础不可排除",IF(AND(K6&lt;&gt;"",AND(L6&lt;&gt;"",ISNUMBER(M6),M6&gt;=DATE(2000,1,1),M6&lt;=DATE(9999,12,31),MOD(IF(ISNUMBER(M6),M6,0),1)=0,N6&lt;&gt;"",ISNUMBER(V6),V6&gt;=M6,V6&lt;=DATE(9999,12,31),MOD(IF(ISNUMBER(V6),V6,0),1)=0,O6="已确认")),"已排除","不适用待复核")),IF(F6&lt;&gt;"适用","适用性待确认",IF(NOT(AND(ISNUMBER(G6),G6&gt;=0,G6&lt;=5,MOD(IF(ISNUMBER(G6),G6,0),1)=0)),"待评分/修正分值",IF(J6="","待补事实证据",IF(U6="","待补样本覆盖",IF(AND(L6&lt;&gt;"",ISNUMBER(M6),M6&gt;=DATE(2000,1,1),M6&lt;=DATE(9999,12,31),MOD(IF(ISNUMBER(M6),M6,0),1)=0,N6&lt;&gt;"",ISNUMBER(V6),V6&gt;=M6,V6&lt;=DATE(9999,12,31),MOD(IF(ISNUMBER(V6),V6,0),1)=0,O6="已确认"),"已评分","待完成评估复核"))))))))</f>
        <v>已评分</v>
      </c>
      <c r="Q6" s="24">
        <f t="shared" ref="Q6:Q69" si="0">IF(OR(P6="已评分",P6="资料已判定"),D6,0)</f>
        <v>0.75</v>
      </c>
      <c r="R6" s="24">
        <f t="shared" ref="R6:R69" si="1">IF(OR(P6="已评分",P6="资料已判定"),D6*G6/5,0)</f>
        <v>0.15</v>
      </c>
      <c r="S6" s="26">
        <f t="shared" ref="S6:S69" si="2">IF(AND(OR(P6="已评分",P6="资料已判定"),ISNUMBER(H6),H6&gt;=0,H6&lt;=5,MOD(IF(ISNUMBER(H6),H6,0),1)=0),H6-G6,"")</f>
        <v>2</v>
      </c>
      <c r="T6" s="9" t="str">
        <f t="shared" ref="T6:T69" si="3">IF(P6="已排除","不适用",IF(NOT(OR(P6="已评分",P6="资料已判定")),"先补证/确认",IF(AND(E6="是",G6&lt;3),"高：关键基础补齐",IF(S6="","待设目标/评影响",IF(S6&lt;0,"复核：目标低于现状",IF(S6=0,"保持/持续验证",IF(I6="","待评业务影响",IF(I6="高","高：业务改善",IF(S6&gt;=2,"中：能力提升","低：持续改善")))))))))</f>
        <v>高：关键基础补齐</v>
      </c>
      <c r="U6" s="10" t="s">
        <v>1058</v>
      </c>
      <c r="V6" s="11">
        <v>46315</v>
      </c>
      <c r="W6" s="9" t="str">
        <f t="shared" ref="W6:W69" si="4">IF(P6="已排除","不适用",IF(NOT(OR(P6="已评分",P6="资料已判定")),"待诊断",IF(S6="","待补有效目标",IF(S6&lt;0,"待复核目标",IF(AND(S6&gt;0,I6=""),"待评业务影响","已明确")))))</f>
        <v>已明确</v>
      </c>
      <c r="X6" s="2" t="s">
        <v>1059</v>
      </c>
    </row>
    <row r="7" ht="152" customHeight="1" spans="1:24">
      <c r="A7" s="3" t="s">
        <v>115</v>
      </c>
      <c r="B7" s="3" t="s">
        <v>64</v>
      </c>
      <c r="C7" s="3" t="s">
        <v>116</v>
      </c>
      <c r="D7" s="24">
        <f>VLOOKUP(B7,'01 参数'!$A$14:$B$23,2,FALSE)/COUNTIF($B$6:$B$89,B7)</f>
        <v>0.75</v>
      </c>
      <c r="E7" s="3" t="s">
        <v>111</v>
      </c>
      <c r="F7" s="10" t="s">
        <v>1054</v>
      </c>
      <c r="G7" s="10">
        <v>1</v>
      </c>
      <c r="H7" s="10">
        <v>4</v>
      </c>
      <c r="I7" s="10" t="s">
        <v>1055</v>
      </c>
      <c r="J7" s="10" t="s">
        <v>1060</v>
      </c>
      <c r="K7" s="10"/>
      <c r="L7" s="10" t="s">
        <v>1061</v>
      </c>
      <c r="M7" s="11">
        <v>46310</v>
      </c>
      <c r="N7" s="25" t="s">
        <v>61</v>
      </c>
      <c r="O7" s="10" t="s">
        <v>76</v>
      </c>
      <c r="P7" s="9" t="str">
        <f t="shared" ref="P6:P69" si="5">IF(O7="资料判定完成",IF(AND(F7="适用",AND(ISNUMBER(G7),G7&gt;=0,G7&lt;=5,MOD(IF(ISNUMBER(G7),G7,0),1)=0),J7&lt;&gt;"",X7&lt;&gt;"",L7&lt;&gt;"",ISNUMBER(M7),U7&lt;&gt;""),"资料已判定","资料待补齐"),IF(OR(O7="质量待访",O7="待补证"),"未赋分",IF(F7="不适用",IF(E7="是","关键基础不可排除",IF(AND(K7&lt;&gt;"",AND(L7&lt;&gt;"",ISNUMBER(M7),M7&gt;=DATE(2000,1,1),M7&lt;=DATE(9999,12,31),MOD(IF(ISNUMBER(M7),M7,0),1)=0,N7&lt;&gt;"",ISNUMBER(V7),V7&gt;=M7,V7&lt;=DATE(9999,12,31),MOD(IF(ISNUMBER(V7),V7,0),1)=0,O7="已确认")),"已排除","不适用待复核")),IF(F7&lt;&gt;"适用","适用性待确认",IF(NOT(AND(ISNUMBER(G7),G7&gt;=0,G7&lt;=5,MOD(IF(ISNUMBER(G7),G7,0),1)=0)),"待评分/修正分值",IF(J7="","待补事实证据",IF(U7="","待补样本覆盖",IF(AND(L7&lt;&gt;"",ISNUMBER(M7),M7&gt;=DATE(2000,1,1),M7&lt;=DATE(9999,12,31),MOD(IF(ISNUMBER(M7),M7,0),1)=0,N7&lt;&gt;"",ISNUMBER(V7),V7&gt;=M7,V7&lt;=DATE(9999,12,31),MOD(IF(ISNUMBER(V7),V7,0),1)=0,O7="已确认"),"已评分","待完成评估复核"))))))))</f>
        <v>已评分</v>
      </c>
      <c r="Q7" s="24">
        <f t="shared" si="0"/>
        <v>0.75</v>
      </c>
      <c r="R7" s="24">
        <f t="shared" si="1"/>
        <v>0.15</v>
      </c>
      <c r="S7" s="26">
        <f t="shared" si="2"/>
        <v>3</v>
      </c>
      <c r="T7" s="9" t="str">
        <f t="shared" si="3"/>
        <v>高：关键基础补齐</v>
      </c>
      <c r="U7" s="10" t="s">
        <v>1062</v>
      </c>
      <c r="V7" s="11">
        <v>46315</v>
      </c>
      <c r="W7" s="9" t="str">
        <f t="shared" si="4"/>
        <v>已明确</v>
      </c>
      <c r="X7" s="2" t="s">
        <v>1063</v>
      </c>
    </row>
    <row r="8" ht="152" customHeight="1" spans="1:24">
      <c r="A8" s="3" t="s">
        <v>125</v>
      </c>
      <c r="B8" s="3" t="s">
        <v>64</v>
      </c>
      <c r="C8" s="3" t="s">
        <v>126</v>
      </c>
      <c r="D8" s="24">
        <f>VLOOKUP(B8,'01 参数'!$A$14:$B$23,2,FALSE)/COUNTIF($B$6:$B$89,B8)</f>
        <v>0.75</v>
      </c>
      <c r="E8" s="3" t="s">
        <v>111</v>
      </c>
      <c r="F8" s="10" t="s">
        <v>1054</v>
      </c>
      <c r="G8" s="10">
        <v>1</v>
      </c>
      <c r="H8" s="10">
        <v>4</v>
      </c>
      <c r="I8" s="10" t="s">
        <v>1055</v>
      </c>
      <c r="J8" s="10" t="s">
        <v>1064</v>
      </c>
      <c r="K8" s="10"/>
      <c r="L8" s="10" t="s">
        <v>1061</v>
      </c>
      <c r="M8" s="11">
        <v>46310</v>
      </c>
      <c r="N8" s="25" t="s">
        <v>61</v>
      </c>
      <c r="O8" s="10" t="s">
        <v>76</v>
      </c>
      <c r="P8" s="9" t="str">
        <f t="shared" si="5"/>
        <v>已评分</v>
      </c>
      <c r="Q8" s="24">
        <f t="shared" si="0"/>
        <v>0.75</v>
      </c>
      <c r="R8" s="24">
        <f t="shared" si="1"/>
        <v>0.15</v>
      </c>
      <c r="S8" s="26">
        <f t="shared" si="2"/>
        <v>3</v>
      </c>
      <c r="T8" s="9" t="str">
        <f t="shared" si="3"/>
        <v>高：关键基础补齐</v>
      </c>
      <c r="U8" s="10" t="s">
        <v>1062</v>
      </c>
      <c r="V8" s="11">
        <v>46315</v>
      </c>
      <c r="W8" s="9" t="str">
        <f t="shared" si="4"/>
        <v>已明确</v>
      </c>
      <c r="X8" s="2" t="s">
        <v>1065</v>
      </c>
    </row>
    <row r="9" ht="152" customHeight="1" spans="1:24">
      <c r="A9" s="3" t="s">
        <v>135</v>
      </c>
      <c r="B9" s="3" t="s">
        <v>64</v>
      </c>
      <c r="C9" s="3" t="s">
        <v>136</v>
      </c>
      <c r="D9" s="24">
        <f>VLOOKUP(B9,'01 参数'!$A$14:$B$23,2,FALSE)/COUNTIF($B$6:$B$89,B9)</f>
        <v>0.75</v>
      </c>
      <c r="E9" s="3" t="s">
        <v>145</v>
      </c>
      <c r="F9" s="10" t="s">
        <v>1054</v>
      </c>
      <c r="G9" s="10">
        <v>2</v>
      </c>
      <c r="H9" s="10">
        <v>5</v>
      </c>
      <c r="I9" s="10" t="s">
        <v>1066</v>
      </c>
      <c r="J9" s="10" t="s">
        <v>1067</v>
      </c>
      <c r="K9" s="10"/>
      <c r="L9" s="10" t="s">
        <v>1057</v>
      </c>
      <c r="M9" s="11">
        <v>46310</v>
      </c>
      <c r="N9" s="25" t="s">
        <v>61</v>
      </c>
      <c r="O9" s="10" t="s">
        <v>76</v>
      </c>
      <c r="P9" s="9" t="str">
        <f t="shared" si="5"/>
        <v>已评分</v>
      </c>
      <c r="Q9" s="24">
        <f t="shared" si="0"/>
        <v>0.75</v>
      </c>
      <c r="R9" s="24">
        <f t="shared" si="1"/>
        <v>0.3</v>
      </c>
      <c r="S9" s="26">
        <f t="shared" si="2"/>
        <v>3</v>
      </c>
      <c r="T9" s="9" t="str">
        <f t="shared" si="3"/>
        <v>中：能力提升</v>
      </c>
      <c r="U9" s="10" t="s">
        <v>1058</v>
      </c>
      <c r="V9" s="11">
        <v>46315</v>
      </c>
      <c r="W9" s="9" t="str">
        <f t="shared" si="4"/>
        <v>已明确</v>
      </c>
      <c r="X9" s="2" t="s">
        <v>1068</v>
      </c>
    </row>
    <row r="10" ht="152" customHeight="1" spans="1:24">
      <c r="A10" s="3" t="s">
        <v>147</v>
      </c>
      <c r="B10" s="3" t="s">
        <v>64</v>
      </c>
      <c r="C10" s="3" t="s">
        <v>148</v>
      </c>
      <c r="D10" s="24">
        <f>VLOOKUP(B10,'01 参数'!$A$14:$B$23,2,FALSE)/COUNTIF($B$6:$B$89,B10)</f>
        <v>0.75</v>
      </c>
      <c r="E10" s="3" t="s">
        <v>145</v>
      </c>
      <c r="F10" s="10" t="s">
        <v>1054</v>
      </c>
      <c r="G10" s="10">
        <v>2</v>
      </c>
      <c r="H10" s="10">
        <v>5</v>
      </c>
      <c r="I10" s="10" t="s">
        <v>1055</v>
      </c>
      <c r="J10" s="10" t="s">
        <v>1069</v>
      </c>
      <c r="K10" s="10"/>
      <c r="L10" s="10" t="s">
        <v>1061</v>
      </c>
      <c r="M10" s="11">
        <v>46310</v>
      </c>
      <c r="N10" s="25" t="s">
        <v>61</v>
      </c>
      <c r="O10" s="10" t="s">
        <v>76</v>
      </c>
      <c r="P10" s="9" t="str">
        <f t="shared" si="5"/>
        <v>已评分</v>
      </c>
      <c r="Q10" s="24">
        <f t="shared" si="0"/>
        <v>0.75</v>
      </c>
      <c r="R10" s="24">
        <f t="shared" si="1"/>
        <v>0.3</v>
      </c>
      <c r="S10" s="26">
        <f t="shared" si="2"/>
        <v>3</v>
      </c>
      <c r="T10" s="9" t="str">
        <f t="shared" si="3"/>
        <v>高：业务改善</v>
      </c>
      <c r="U10" s="10" t="s">
        <v>1062</v>
      </c>
      <c r="V10" s="11">
        <v>46315</v>
      </c>
      <c r="W10" s="9" t="str">
        <f t="shared" si="4"/>
        <v>已明确</v>
      </c>
      <c r="X10" s="2" t="s">
        <v>1070</v>
      </c>
    </row>
    <row r="11" ht="152" customHeight="1" spans="1:24">
      <c r="A11" s="3" t="s">
        <v>157</v>
      </c>
      <c r="B11" s="3" t="s">
        <v>64</v>
      </c>
      <c r="C11" s="3" t="s">
        <v>158</v>
      </c>
      <c r="D11" s="24">
        <f>VLOOKUP(B11,'01 参数'!$A$14:$B$23,2,FALSE)/COUNTIF($B$6:$B$89,B11)</f>
        <v>0.75</v>
      </c>
      <c r="E11" s="3" t="s">
        <v>145</v>
      </c>
      <c r="F11" s="10" t="s">
        <v>1054</v>
      </c>
      <c r="G11" s="10">
        <v>1</v>
      </c>
      <c r="H11" s="10">
        <v>4</v>
      </c>
      <c r="I11" s="10" t="s">
        <v>1055</v>
      </c>
      <c r="J11" s="10" t="s">
        <v>1071</v>
      </c>
      <c r="K11" s="10"/>
      <c r="L11" s="10" t="s">
        <v>1057</v>
      </c>
      <c r="M11" s="11">
        <v>46310</v>
      </c>
      <c r="N11" s="25" t="s">
        <v>61</v>
      </c>
      <c r="O11" s="10" t="s">
        <v>76</v>
      </c>
      <c r="P11" s="9" t="str">
        <f t="shared" si="5"/>
        <v>已评分</v>
      </c>
      <c r="Q11" s="24">
        <f t="shared" si="0"/>
        <v>0.75</v>
      </c>
      <c r="R11" s="24">
        <f t="shared" si="1"/>
        <v>0.15</v>
      </c>
      <c r="S11" s="26">
        <f t="shared" si="2"/>
        <v>3</v>
      </c>
      <c r="T11" s="9" t="str">
        <f t="shared" si="3"/>
        <v>高：业务改善</v>
      </c>
      <c r="U11" s="10" t="s">
        <v>1058</v>
      </c>
      <c r="V11" s="11">
        <v>46315</v>
      </c>
      <c r="W11" s="9" t="str">
        <f t="shared" si="4"/>
        <v>已明确</v>
      </c>
      <c r="X11" s="2" t="s">
        <v>1072</v>
      </c>
    </row>
    <row r="12" ht="152" customHeight="1" spans="1:24">
      <c r="A12" s="3" t="s">
        <v>168</v>
      </c>
      <c r="B12" s="3" t="s">
        <v>64</v>
      </c>
      <c r="C12" s="3" t="s">
        <v>169</v>
      </c>
      <c r="D12" s="24">
        <f>VLOOKUP(B12,'01 参数'!$A$14:$B$23,2,FALSE)/COUNTIF($B$6:$B$89,B12)</f>
        <v>0.75</v>
      </c>
      <c r="E12" s="3" t="s">
        <v>145</v>
      </c>
      <c r="F12" s="10" t="s">
        <v>1054</v>
      </c>
      <c r="G12" s="10">
        <v>1</v>
      </c>
      <c r="H12" s="10">
        <v>5</v>
      </c>
      <c r="I12" s="10" t="s">
        <v>1066</v>
      </c>
      <c r="J12" s="10" t="s">
        <v>1073</v>
      </c>
      <c r="K12" s="10"/>
      <c r="L12" s="10" t="s">
        <v>1057</v>
      </c>
      <c r="M12" s="11">
        <v>46310</v>
      </c>
      <c r="N12" s="25" t="s">
        <v>61</v>
      </c>
      <c r="O12" s="10" t="s">
        <v>76</v>
      </c>
      <c r="P12" s="9" t="str">
        <f t="shared" si="5"/>
        <v>已评分</v>
      </c>
      <c r="Q12" s="24">
        <f t="shared" si="0"/>
        <v>0.75</v>
      </c>
      <c r="R12" s="24">
        <f t="shared" si="1"/>
        <v>0.15</v>
      </c>
      <c r="S12" s="26">
        <f t="shared" si="2"/>
        <v>4</v>
      </c>
      <c r="T12" s="9" t="str">
        <f t="shared" si="3"/>
        <v>中：能力提升</v>
      </c>
      <c r="U12" s="10" t="s">
        <v>1058</v>
      </c>
      <c r="V12" s="11">
        <v>46315</v>
      </c>
      <c r="W12" s="9" t="str">
        <f t="shared" si="4"/>
        <v>已明确</v>
      </c>
      <c r="X12" s="2" t="s">
        <v>1074</v>
      </c>
    </row>
    <row r="13" ht="152" customHeight="1" spans="1:24">
      <c r="A13" s="3" t="s">
        <v>179</v>
      </c>
      <c r="B13" s="3" t="s">
        <v>64</v>
      </c>
      <c r="C13" s="3" t="s">
        <v>180</v>
      </c>
      <c r="D13" s="24">
        <f>VLOOKUP(B13,'01 参数'!$A$14:$B$23,2,FALSE)/COUNTIF($B$6:$B$89,B13)</f>
        <v>0.75</v>
      </c>
      <c r="E13" s="3" t="s">
        <v>145</v>
      </c>
      <c r="F13" s="10" t="s">
        <v>1075</v>
      </c>
      <c r="G13" s="10"/>
      <c r="H13" s="10"/>
      <c r="I13" s="10"/>
      <c r="J13" s="10" t="s">
        <v>1076</v>
      </c>
      <c r="K13" s="25" t="s">
        <v>1075</v>
      </c>
      <c r="L13" s="10" t="s">
        <v>1057</v>
      </c>
      <c r="M13" s="11">
        <v>46310</v>
      </c>
      <c r="N13" s="25" t="s">
        <v>61</v>
      </c>
      <c r="O13" s="10" t="s">
        <v>76</v>
      </c>
      <c r="P13" s="9" t="str">
        <f t="shared" si="5"/>
        <v>已排除</v>
      </c>
      <c r="Q13" s="24">
        <f t="shared" si="0"/>
        <v>0</v>
      </c>
      <c r="R13" s="24">
        <f t="shared" si="1"/>
        <v>0</v>
      </c>
      <c r="S13" s="26" t="str">
        <f t="shared" si="2"/>
        <v/>
      </c>
      <c r="T13" s="9" t="str">
        <f t="shared" si="3"/>
        <v>不适用</v>
      </c>
      <c r="U13" s="10" t="s">
        <v>1058</v>
      </c>
      <c r="V13" s="11">
        <v>46315</v>
      </c>
      <c r="W13" s="9" t="str">
        <f t="shared" si="4"/>
        <v>不适用</v>
      </c>
      <c r="X13" s="2" t="s">
        <v>1077</v>
      </c>
    </row>
    <row r="14" ht="152" customHeight="1" spans="1:24">
      <c r="A14" s="3" t="s">
        <v>190</v>
      </c>
      <c r="B14" s="3" t="s">
        <v>66</v>
      </c>
      <c r="C14" s="3" t="s">
        <v>191</v>
      </c>
      <c r="D14" s="24">
        <f>VLOOKUP(B14,'01 参数'!$A$14:$B$23,2,FALSE)/COUNTIF($B$6:$B$89,B14)</f>
        <v>1</v>
      </c>
      <c r="E14" s="3" t="s">
        <v>111</v>
      </c>
      <c r="F14" s="10" t="s">
        <v>1054</v>
      </c>
      <c r="G14" s="10">
        <v>3</v>
      </c>
      <c r="H14" s="10">
        <v>5</v>
      </c>
      <c r="I14" s="10" t="s">
        <v>1055</v>
      </c>
      <c r="J14" s="10" t="s">
        <v>1078</v>
      </c>
      <c r="K14" s="10"/>
      <c r="L14" s="10" t="s">
        <v>1061</v>
      </c>
      <c r="M14" s="11">
        <v>46310</v>
      </c>
      <c r="N14" s="25" t="s">
        <v>61</v>
      </c>
      <c r="O14" s="10" t="s">
        <v>76</v>
      </c>
      <c r="P14" s="9" t="str">
        <f t="shared" si="5"/>
        <v>已评分</v>
      </c>
      <c r="Q14" s="24">
        <f t="shared" si="0"/>
        <v>1</v>
      </c>
      <c r="R14" s="24">
        <f t="shared" si="1"/>
        <v>0.6</v>
      </c>
      <c r="S14" s="26">
        <f t="shared" si="2"/>
        <v>2</v>
      </c>
      <c r="T14" s="9" t="str">
        <f t="shared" si="3"/>
        <v>高：业务改善</v>
      </c>
      <c r="U14" s="10" t="s">
        <v>1062</v>
      </c>
      <c r="V14" s="11">
        <v>46315</v>
      </c>
      <c r="W14" s="9" t="str">
        <f t="shared" si="4"/>
        <v>已明确</v>
      </c>
      <c r="X14" s="2" t="s">
        <v>1079</v>
      </c>
    </row>
    <row r="15" ht="152" customHeight="1" spans="1:24">
      <c r="A15" s="3" t="s">
        <v>202</v>
      </c>
      <c r="B15" s="3" t="s">
        <v>66</v>
      </c>
      <c r="C15" s="3" t="s">
        <v>203</v>
      </c>
      <c r="D15" s="24">
        <f>VLOOKUP(B15,'01 参数'!$A$14:$B$23,2,FALSE)/COUNTIF($B$6:$B$89,B15)</f>
        <v>1</v>
      </c>
      <c r="E15" s="3" t="s">
        <v>111</v>
      </c>
      <c r="F15" s="10" t="s">
        <v>1054</v>
      </c>
      <c r="G15" s="10">
        <v>3</v>
      </c>
      <c r="H15" s="10">
        <v>5</v>
      </c>
      <c r="I15" s="10" t="s">
        <v>1055</v>
      </c>
      <c r="J15" s="10" t="s">
        <v>1080</v>
      </c>
      <c r="K15" s="10"/>
      <c r="L15" s="10" t="s">
        <v>1061</v>
      </c>
      <c r="M15" s="11">
        <v>46310</v>
      </c>
      <c r="N15" s="25" t="s">
        <v>61</v>
      </c>
      <c r="O15" s="10" t="s">
        <v>76</v>
      </c>
      <c r="P15" s="9" t="str">
        <f t="shared" si="5"/>
        <v>已评分</v>
      </c>
      <c r="Q15" s="24">
        <f t="shared" si="0"/>
        <v>1</v>
      </c>
      <c r="R15" s="24">
        <f t="shared" si="1"/>
        <v>0.6</v>
      </c>
      <c r="S15" s="26">
        <f t="shared" si="2"/>
        <v>2</v>
      </c>
      <c r="T15" s="9" t="str">
        <f t="shared" si="3"/>
        <v>高：业务改善</v>
      </c>
      <c r="U15" s="10" t="s">
        <v>1062</v>
      </c>
      <c r="V15" s="11">
        <v>46315</v>
      </c>
      <c r="W15" s="9" t="str">
        <f t="shared" si="4"/>
        <v>已明确</v>
      </c>
      <c r="X15" s="2" t="s">
        <v>1081</v>
      </c>
    </row>
    <row r="16" ht="152" customHeight="1" spans="1:24">
      <c r="A16" s="3" t="s">
        <v>213</v>
      </c>
      <c r="B16" s="3" t="s">
        <v>66</v>
      </c>
      <c r="C16" s="3" t="s">
        <v>214</v>
      </c>
      <c r="D16" s="24">
        <f>VLOOKUP(B16,'01 参数'!$A$14:$B$23,2,FALSE)/COUNTIF($B$6:$B$89,B16)</f>
        <v>1</v>
      </c>
      <c r="E16" s="3" t="s">
        <v>145</v>
      </c>
      <c r="F16" s="10" t="s">
        <v>1054</v>
      </c>
      <c r="G16" s="10">
        <v>2</v>
      </c>
      <c r="H16" s="10">
        <v>3</v>
      </c>
      <c r="I16" s="10" t="s">
        <v>1055</v>
      </c>
      <c r="J16" s="10" t="s">
        <v>1082</v>
      </c>
      <c r="K16" s="10"/>
      <c r="L16" s="10" t="s">
        <v>1061</v>
      </c>
      <c r="M16" s="11">
        <v>46310</v>
      </c>
      <c r="N16" s="25" t="s">
        <v>61</v>
      </c>
      <c r="O16" s="10" t="s">
        <v>76</v>
      </c>
      <c r="P16" s="9" t="str">
        <f t="shared" si="5"/>
        <v>已评分</v>
      </c>
      <c r="Q16" s="24">
        <f t="shared" si="0"/>
        <v>1</v>
      </c>
      <c r="R16" s="24">
        <f t="shared" si="1"/>
        <v>0.4</v>
      </c>
      <c r="S16" s="26">
        <f t="shared" si="2"/>
        <v>1</v>
      </c>
      <c r="T16" s="9" t="str">
        <f t="shared" si="3"/>
        <v>高：业务改善</v>
      </c>
      <c r="U16" s="10" t="s">
        <v>1062</v>
      </c>
      <c r="V16" s="11">
        <v>46315</v>
      </c>
      <c r="W16" s="9" t="str">
        <f t="shared" si="4"/>
        <v>已明确</v>
      </c>
      <c r="X16" s="2" t="s">
        <v>1083</v>
      </c>
    </row>
    <row r="17" ht="152" customHeight="1" spans="1:24">
      <c r="A17" s="3" t="s">
        <v>224</v>
      </c>
      <c r="B17" s="3" t="s">
        <v>66</v>
      </c>
      <c r="C17" s="3" t="s">
        <v>225</v>
      </c>
      <c r="D17" s="24">
        <f>VLOOKUP(B17,'01 参数'!$A$14:$B$23,2,FALSE)/COUNTIF($B$6:$B$89,B17)</f>
        <v>1</v>
      </c>
      <c r="E17" s="3" t="s">
        <v>111</v>
      </c>
      <c r="F17" s="10" t="s">
        <v>1054</v>
      </c>
      <c r="G17" s="10">
        <v>2</v>
      </c>
      <c r="H17" s="10">
        <v>3</v>
      </c>
      <c r="I17" s="10" t="s">
        <v>1055</v>
      </c>
      <c r="J17" s="10" t="s">
        <v>1084</v>
      </c>
      <c r="K17" s="10"/>
      <c r="L17" s="10" t="s">
        <v>1061</v>
      </c>
      <c r="M17" s="11">
        <v>46310</v>
      </c>
      <c r="N17" s="25" t="s">
        <v>61</v>
      </c>
      <c r="O17" s="10" t="s">
        <v>76</v>
      </c>
      <c r="P17" s="9" t="str">
        <f t="shared" si="5"/>
        <v>已评分</v>
      </c>
      <c r="Q17" s="24">
        <f t="shared" si="0"/>
        <v>1</v>
      </c>
      <c r="R17" s="24">
        <f t="shared" si="1"/>
        <v>0.4</v>
      </c>
      <c r="S17" s="26">
        <f t="shared" si="2"/>
        <v>1</v>
      </c>
      <c r="T17" s="9" t="str">
        <f t="shared" si="3"/>
        <v>高：关键基础补齐</v>
      </c>
      <c r="U17" s="10" t="s">
        <v>1062</v>
      </c>
      <c r="V17" s="11">
        <v>46315</v>
      </c>
      <c r="W17" s="9" t="str">
        <f t="shared" si="4"/>
        <v>已明确</v>
      </c>
      <c r="X17" s="2" t="s">
        <v>1085</v>
      </c>
    </row>
    <row r="18" ht="152" customHeight="1" spans="1:24">
      <c r="A18" s="3" t="s">
        <v>235</v>
      </c>
      <c r="B18" s="3" t="s">
        <v>66</v>
      </c>
      <c r="C18" s="3" t="s">
        <v>236</v>
      </c>
      <c r="D18" s="24">
        <f>VLOOKUP(B18,'01 参数'!$A$14:$B$23,2,FALSE)/COUNTIF($B$6:$B$89,B18)</f>
        <v>1</v>
      </c>
      <c r="E18" s="3" t="s">
        <v>111</v>
      </c>
      <c r="F18" s="10" t="s">
        <v>1054</v>
      </c>
      <c r="G18" s="10">
        <v>2</v>
      </c>
      <c r="H18" s="10">
        <v>4</v>
      </c>
      <c r="I18" s="10" t="s">
        <v>1055</v>
      </c>
      <c r="J18" s="10" t="s">
        <v>1086</v>
      </c>
      <c r="K18" s="10"/>
      <c r="L18" s="10" t="s">
        <v>1061</v>
      </c>
      <c r="M18" s="11">
        <v>46310</v>
      </c>
      <c r="N18" s="25" t="s">
        <v>61</v>
      </c>
      <c r="O18" s="10" t="s">
        <v>76</v>
      </c>
      <c r="P18" s="9" t="str">
        <f t="shared" si="5"/>
        <v>已评分</v>
      </c>
      <c r="Q18" s="24">
        <f t="shared" si="0"/>
        <v>1</v>
      </c>
      <c r="R18" s="24">
        <f t="shared" si="1"/>
        <v>0.4</v>
      </c>
      <c r="S18" s="26">
        <f t="shared" si="2"/>
        <v>2</v>
      </c>
      <c r="T18" s="9" t="str">
        <f t="shared" si="3"/>
        <v>高：关键基础补齐</v>
      </c>
      <c r="U18" s="10" t="s">
        <v>1062</v>
      </c>
      <c r="V18" s="11">
        <v>46315</v>
      </c>
      <c r="W18" s="9" t="str">
        <f t="shared" si="4"/>
        <v>已明确</v>
      </c>
      <c r="X18" s="2" t="s">
        <v>1087</v>
      </c>
    </row>
    <row r="19" ht="152" customHeight="1" spans="1:24">
      <c r="A19" s="3" t="s">
        <v>246</v>
      </c>
      <c r="B19" s="3" t="s">
        <v>66</v>
      </c>
      <c r="C19" s="3" t="s">
        <v>247</v>
      </c>
      <c r="D19" s="24">
        <f>VLOOKUP(B19,'01 参数'!$A$14:$B$23,2,FALSE)/COUNTIF($B$6:$B$89,B19)</f>
        <v>1</v>
      </c>
      <c r="E19" s="3" t="s">
        <v>111</v>
      </c>
      <c r="F19" s="10" t="s">
        <v>1054</v>
      </c>
      <c r="G19" s="10">
        <v>2</v>
      </c>
      <c r="H19" s="10">
        <v>3</v>
      </c>
      <c r="I19" s="10" t="s">
        <v>1055</v>
      </c>
      <c r="J19" s="10" t="s">
        <v>1088</v>
      </c>
      <c r="K19" s="10"/>
      <c r="L19" s="10" t="s">
        <v>1061</v>
      </c>
      <c r="M19" s="11">
        <v>46310</v>
      </c>
      <c r="N19" s="25" t="s">
        <v>61</v>
      </c>
      <c r="O19" s="10" t="s">
        <v>76</v>
      </c>
      <c r="P19" s="9" t="str">
        <f t="shared" si="5"/>
        <v>已评分</v>
      </c>
      <c r="Q19" s="24">
        <f t="shared" si="0"/>
        <v>1</v>
      </c>
      <c r="R19" s="24">
        <f t="shared" si="1"/>
        <v>0.4</v>
      </c>
      <c r="S19" s="26">
        <f t="shared" si="2"/>
        <v>1</v>
      </c>
      <c r="T19" s="9" t="str">
        <f t="shared" si="3"/>
        <v>高：关键基础补齐</v>
      </c>
      <c r="U19" s="10" t="s">
        <v>1062</v>
      </c>
      <c r="V19" s="11">
        <v>46315</v>
      </c>
      <c r="W19" s="9" t="str">
        <f t="shared" si="4"/>
        <v>已明确</v>
      </c>
      <c r="X19" s="2" t="s">
        <v>1089</v>
      </c>
    </row>
    <row r="20" ht="152" customHeight="1" spans="1:24">
      <c r="A20" s="3" t="s">
        <v>257</v>
      </c>
      <c r="B20" s="3" t="s">
        <v>66</v>
      </c>
      <c r="C20" s="3" t="s">
        <v>258</v>
      </c>
      <c r="D20" s="24">
        <f>VLOOKUP(B20,'01 参数'!$A$14:$B$23,2,FALSE)/COUNTIF($B$6:$B$89,B20)</f>
        <v>1</v>
      </c>
      <c r="E20" s="3" t="s">
        <v>145</v>
      </c>
      <c r="F20" s="10" t="s">
        <v>1054</v>
      </c>
      <c r="G20" s="10">
        <v>1</v>
      </c>
      <c r="H20" s="10">
        <v>3</v>
      </c>
      <c r="I20" s="10" t="s">
        <v>1090</v>
      </c>
      <c r="J20" s="10" t="s">
        <v>1091</v>
      </c>
      <c r="K20" s="10"/>
      <c r="L20" s="10" t="s">
        <v>1061</v>
      </c>
      <c r="M20" s="11">
        <v>46310</v>
      </c>
      <c r="N20" s="25" t="s">
        <v>61</v>
      </c>
      <c r="O20" s="10" t="s">
        <v>76</v>
      </c>
      <c r="P20" s="9" t="str">
        <f t="shared" si="5"/>
        <v>已评分</v>
      </c>
      <c r="Q20" s="24">
        <f t="shared" si="0"/>
        <v>1</v>
      </c>
      <c r="R20" s="24">
        <f t="shared" si="1"/>
        <v>0.2</v>
      </c>
      <c r="S20" s="26">
        <f t="shared" si="2"/>
        <v>2</v>
      </c>
      <c r="T20" s="9" t="str">
        <f t="shared" si="3"/>
        <v>中：能力提升</v>
      </c>
      <c r="U20" s="10" t="s">
        <v>1062</v>
      </c>
      <c r="V20" s="11">
        <v>46315</v>
      </c>
      <c r="W20" s="9" t="str">
        <f t="shared" si="4"/>
        <v>已明确</v>
      </c>
      <c r="X20" s="2" t="s">
        <v>1092</v>
      </c>
    </row>
    <row r="21" ht="152" customHeight="1" spans="1:24">
      <c r="A21" s="3" t="s">
        <v>268</v>
      </c>
      <c r="B21" s="3" t="s">
        <v>66</v>
      </c>
      <c r="C21" s="3" t="s">
        <v>269</v>
      </c>
      <c r="D21" s="24">
        <f>VLOOKUP(B21,'01 参数'!$A$14:$B$23,2,FALSE)/COUNTIF($B$6:$B$89,B21)</f>
        <v>1</v>
      </c>
      <c r="E21" s="3" t="s">
        <v>145</v>
      </c>
      <c r="F21" s="10" t="s">
        <v>1054</v>
      </c>
      <c r="G21" s="10">
        <v>1</v>
      </c>
      <c r="H21" s="10">
        <v>3</v>
      </c>
      <c r="I21" s="10" t="s">
        <v>1066</v>
      </c>
      <c r="J21" s="10" t="s">
        <v>1093</v>
      </c>
      <c r="K21" s="10"/>
      <c r="L21" s="10" t="s">
        <v>1061</v>
      </c>
      <c r="M21" s="11">
        <v>46310</v>
      </c>
      <c r="N21" s="25" t="s">
        <v>61</v>
      </c>
      <c r="O21" s="10" t="s">
        <v>76</v>
      </c>
      <c r="P21" s="9" t="str">
        <f t="shared" si="5"/>
        <v>已评分</v>
      </c>
      <c r="Q21" s="24">
        <f t="shared" si="0"/>
        <v>1</v>
      </c>
      <c r="R21" s="24">
        <f t="shared" si="1"/>
        <v>0.2</v>
      </c>
      <c r="S21" s="26">
        <f t="shared" si="2"/>
        <v>2</v>
      </c>
      <c r="T21" s="9" t="str">
        <f t="shared" si="3"/>
        <v>中：能力提升</v>
      </c>
      <c r="U21" s="10" t="s">
        <v>1062</v>
      </c>
      <c r="V21" s="11">
        <v>46315</v>
      </c>
      <c r="W21" s="9" t="str">
        <f t="shared" si="4"/>
        <v>已明确</v>
      </c>
      <c r="X21" s="2" t="s">
        <v>1094</v>
      </c>
    </row>
    <row r="22" ht="152" customHeight="1" spans="1:24">
      <c r="A22" s="3" t="s">
        <v>279</v>
      </c>
      <c r="B22" s="3" t="s">
        <v>67</v>
      </c>
      <c r="C22" s="3" t="s">
        <v>280</v>
      </c>
      <c r="D22" s="24">
        <f>VLOOKUP(B22,'01 参数'!$A$14:$B$23,2,FALSE)/COUNTIF($B$6:$B$89,B22)</f>
        <v>1</v>
      </c>
      <c r="E22" s="3" t="s">
        <v>111</v>
      </c>
      <c r="F22" s="10" t="s">
        <v>1054</v>
      </c>
      <c r="G22" s="10">
        <v>1</v>
      </c>
      <c r="H22" s="10">
        <v>3</v>
      </c>
      <c r="I22" s="10" t="s">
        <v>1055</v>
      </c>
      <c r="J22" s="10" t="s">
        <v>1095</v>
      </c>
      <c r="K22" s="10"/>
      <c r="L22" s="10" t="s">
        <v>1057</v>
      </c>
      <c r="M22" s="11">
        <v>46310</v>
      </c>
      <c r="N22" s="25" t="s">
        <v>61</v>
      </c>
      <c r="O22" s="10" t="s">
        <v>76</v>
      </c>
      <c r="P22" s="9" t="str">
        <f t="shared" si="5"/>
        <v>已评分</v>
      </c>
      <c r="Q22" s="24">
        <f t="shared" si="0"/>
        <v>1</v>
      </c>
      <c r="R22" s="24">
        <f t="shared" si="1"/>
        <v>0.2</v>
      </c>
      <c r="S22" s="26">
        <f t="shared" si="2"/>
        <v>2</v>
      </c>
      <c r="T22" s="9" t="str">
        <f t="shared" si="3"/>
        <v>高：关键基础补齐</v>
      </c>
      <c r="U22" s="10" t="s">
        <v>1058</v>
      </c>
      <c r="V22" s="11">
        <v>46315</v>
      </c>
      <c r="W22" s="9" t="str">
        <f t="shared" si="4"/>
        <v>已明确</v>
      </c>
      <c r="X22" s="2" t="s">
        <v>1096</v>
      </c>
    </row>
    <row r="23" ht="152" customHeight="1" spans="1:24">
      <c r="A23" s="3" t="s">
        <v>292</v>
      </c>
      <c r="B23" s="3" t="s">
        <v>67</v>
      </c>
      <c r="C23" s="3" t="s">
        <v>293</v>
      </c>
      <c r="D23" s="24">
        <f>VLOOKUP(B23,'01 参数'!$A$14:$B$23,2,FALSE)/COUNTIF($B$6:$B$89,B23)</f>
        <v>1</v>
      </c>
      <c r="E23" s="3" t="s">
        <v>145</v>
      </c>
      <c r="F23" s="10" t="s">
        <v>1054</v>
      </c>
      <c r="G23" s="10">
        <v>1</v>
      </c>
      <c r="H23" s="10">
        <v>3</v>
      </c>
      <c r="I23" s="10" t="s">
        <v>1055</v>
      </c>
      <c r="J23" s="10" t="s">
        <v>1097</v>
      </c>
      <c r="K23" s="10"/>
      <c r="L23" s="10" t="s">
        <v>1061</v>
      </c>
      <c r="M23" s="11">
        <v>46310</v>
      </c>
      <c r="N23" s="25" t="s">
        <v>61</v>
      </c>
      <c r="O23" s="10" t="s">
        <v>76</v>
      </c>
      <c r="P23" s="9" t="str">
        <f t="shared" si="5"/>
        <v>已评分</v>
      </c>
      <c r="Q23" s="24">
        <f t="shared" si="0"/>
        <v>1</v>
      </c>
      <c r="R23" s="24">
        <f t="shared" si="1"/>
        <v>0.2</v>
      </c>
      <c r="S23" s="26">
        <f t="shared" si="2"/>
        <v>2</v>
      </c>
      <c r="T23" s="9" t="str">
        <f t="shared" si="3"/>
        <v>高：业务改善</v>
      </c>
      <c r="U23" s="10" t="s">
        <v>1062</v>
      </c>
      <c r="V23" s="11">
        <v>46315</v>
      </c>
      <c r="W23" s="9" t="str">
        <f t="shared" si="4"/>
        <v>已明确</v>
      </c>
      <c r="X23" s="2" t="s">
        <v>1098</v>
      </c>
    </row>
    <row r="24" ht="152" customHeight="1" spans="1:24">
      <c r="A24" s="3" t="s">
        <v>303</v>
      </c>
      <c r="B24" s="3" t="s">
        <v>67</v>
      </c>
      <c r="C24" s="3" t="s">
        <v>304</v>
      </c>
      <c r="D24" s="24">
        <f>VLOOKUP(B24,'01 参数'!$A$14:$B$23,2,FALSE)/COUNTIF($B$6:$B$89,B24)</f>
        <v>1</v>
      </c>
      <c r="E24" s="3" t="s">
        <v>111</v>
      </c>
      <c r="F24" s="10" t="s">
        <v>1054</v>
      </c>
      <c r="G24" s="10">
        <v>1</v>
      </c>
      <c r="H24" s="10">
        <v>4</v>
      </c>
      <c r="I24" s="10" t="s">
        <v>1055</v>
      </c>
      <c r="J24" s="10" t="s">
        <v>1099</v>
      </c>
      <c r="K24" s="10"/>
      <c r="L24" s="10" t="s">
        <v>1061</v>
      </c>
      <c r="M24" s="11">
        <v>46310</v>
      </c>
      <c r="N24" s="25" t="s">
        <v>61</v>
      </c>
      <c r="O24" s="10" t="s">
        <v>76</v>
      </c>
      <c r="P24" s="9" t="str">
        <f t="shared" si="5"/>
        <v>已评分</v>
      </c>
      <c r="Q24" s="24">
        <f t="shared" si="0"/>
        <v>1</v>
      </c>
      <c r="R24" s="24">
        <f t="shared" si="1"/>
        <v>0.2</v>
      </c>
      <c r="S24" s="26">
        <f t="shared" si="2"/>
        <v>3</v>
      </c>
      <c r="T24" s="9" t="str">
        <f t="shared" si="3"/>
        <v>高：关键基础补齐</v>
      </c>
      <c r="U24" s="10" t="s">
        <v>1062</v>
      </c>
      <c r="V24" s="11">
        <v>46315</v>
      </c>
      <c r="W24" s="9" t="str">
        <f t="shared" si="4"/>
        <v>已明确</v>
      </c>
      <c r="X24" s="2" t="s">
        <v>1100</v>
      </c>
    </row>
    <row r="25" ht="152" customHeight="1" spans="1:24">
      <c r="A25" s="3" t="s">
        <v>314</v>
      </c>
      <c r="B25" s="3" t="s">
        <v>67</v>
      </c>
      <c r="C25" s="3" t="s">
        <v>315</v>
      </c>
      <c r="D25" s="24">
        <f>VLOOKUP(B25,'01 参数'!$A$14:$B$23,2,FALSE)/COUNTIF($B$6:$B$89,B25)</f>
        <v>1</v>
      </c>
      <c r="E25" s="3" t="s">
        <v>145</v>
      </c>
      <c r="F25" s="10" t="s">
        <v>1075</v>
      </c>
      <c r="G25" s="10"/>
      <c r="H25" s="10"/>
      <c r="I25" s="10"/>
      <c r="J25" s="10" t="s">
        <v>1101</v>
      </c>
      <c r="K25" s="25" t="s">
        <v>1075</v>
      </c>
      <c r="L25" s="10" t="s">
        <v>1057</v>
      </c>
      <c r="M25" s="11">
        <v>46310</v>
      </c>
      <c r="N25" s="25" t="s">
        <v>61</v>
      </c>
      <c r="O25" s="10" t="s">
        <v>76</v>
      </c>
      <c r="P25" s="9" t="str">
        <f t="shared" si="5"/>
        <v>已排除</v>
      </c>
      <c r="Q25" s="24">
        <f t="shared" si="0"/>
        <v>0</v>
      </c>
      <c r="R25" s="24">
        <f t="shared" si="1"/>
        <v>0</v>
      </c>
      <c r="S25" s="26" t="str">
        <f t="shared" si="2"/>
        <v/>
      </c>
      <c r="T25" s="9" t="str">
        <f t="shared" si="3"/>
        <v>不适用</v>
      </c>
      <c r="U25" s="10" t="s">
        <v>1058</v>
      </c>
      <c r="V25" s="11">
        <v>46315</v>
      </c>
      <c r="W25" s="9" t="str">
        <f t="shared" si="4"/>
        <v>不适用</v>
      </c>
      <c r="X25" s="2" t="s">
        <v>1102</v>
      </c>
    </row>
    <row r="26" ht="152" customHeight="1" spans="1:24">
      <c r="A26" s="3" t="s">
        <v>325</v>
      </c>
      <c r="B26" s="3" t="s">
        <v>67</v>
      </c>
      <c r="C26" s="3" t="s">
        <v>326</v>
      </c>
      <c r="D26" s="24">
        <f>VLOOKUP(B26,'01 参数'!$A$14:$B$23,2,FALSE)/COUNTIF($B$6:$B$89,B26)</f>
        <v>1</v>
      </c>
      <c r="E26" s="3" t="s">
        <v>111</v>
      </c>
      <c r="F26" s="10" t="s">
        <v>1054</v>
      </c>
      <c r="G26" s="10">
        <v>2</v>
      </c>
      <c r="H26" s="10">
        <v>3</v>
      </c>
      <c r="I26" s="10" t="s">
        <v>1055</v>
      </c>
      <c r="J26" s="10" t="s">
        <v>1103</v>
      </c>
      <c r="K26" s="10"/>
      <c r="L26" s="10" t="s">
        <v>1061</v>
      </c>
      <c r="M26" s="11">
        <v>46310</v>
      </c>
      <c r="N26" s="25" t="s">
        <v>61</v>
      </c>
      <c r="O26" s="10" t="s">
        <v>76</v>
      </c>
      <c r="P26" s="9" t="str">
        <f t="shared" si="5"/>
        <v>已评分</v>
      </c>
      <c r="Q26" s="24">
        <f t="shared" si="0"/>
        <v>1</v>
      </c>
      <c r="R26" s="24">
        <f t="shared" si="1"/>
        <v>0.4</v>
      </c>
      <c r="S26" s="26">
        <f t="shared" si="2"/>
        <v>1</v>
      </c>
      <c r="T26" s="9" t="str">
        <f t="shared" si="3"/>
        <v>高：关键基础补齐</v>
      </c>
      <c r="U26" s="10" t="s">
        <v>1062</v>
      </c>
      <c r="V26" s="11">
        <v>46315</v>
      </c>
      <c r="W26" s="9" t="str">
        <f t="shared" si="4"/>
        <v>已明确</v>
      </c>
      <c r="X26" s="2" t="s">
        <v>1104</v>
      </c>
    </row>
    <row r="27" ht="152" customHeight="1" spans="1:24">
      <c r="A27" s="3" t="s">
        <v>336</v>
      </c>
      <c r="B27" s="3" t="s">
        <v>67</v>
      </c>
      <c r="C27" s="3" t="s">
        <v>337</v>
      </c>
      <c r="D27" s="24">
        <f>VLOOKUP(B27,'01 参数'!$A$14:$B$23,2,FALSE)/COUNTIF($B$6:$B$89,B27)</f>
        <v>1</v>
      </c>
      <c r="E27" s="3" t="s">
        <v>145</v>
      </c>
      <c r="F27" s="10" t="s">
        <v>1054</v>
      </c>
      <c r="G27" s="10">
        <v>2</v>
      </c>
      <c r="H27" s="10">
        <v>3</v>
      </c>
      <c r="I27" s="10" t="s">
        <v>1055</v>
      </c>
      <c r="J27" s="10" t="s">
        <v>1105</v>
      </c>
      <c r="K27" s="10"/>
      <c r="L27" s="10" t="s">
        <v>1061</v>
      </c>
      <c r="M27" s="11">
        <v>46310</v>
      </c>
      <c r="N27" s="25" t="s">
        <v>61</v>
      </c>
      <c r="O27" s="10" t="s">
        <v>76</v>
      </c>
      <c r="P27" s="9" t="str">
        <f t="shared" si="5"/>
        <v>已评分</v>
      </c>
      <c r="Q27" s="24">
        <f t="shared" si="0"/>
        <v>1</v>
      </c>
      <c r="R27" s="24">
        <f t="shared" si="1"/>
        <v>0.4</v>
      </c>
      <c r="S27" s="26">
        <f t="shared" si="2"/>
        <v>1</v>
      </c>
      <c r="T27" s="9" t="str">
        <f t="shared" si="3"/>
        <v>高：业务改善</v>
      </c>
      <c r="U27" s="10" t="s">
        <v>1062</v>
      </c>
      <c r="V27" s="11">
        <v>46315</v>
      </c>
      <c r="W27" s="9" t="str">
        <f t="shared" si="4"/>
        <v>已明确</v>
      </c>
      <c r="X27" s="2" t="s">
        <v>1106</v>
      </c>
    </row>
    <row r="28" ht="152" customHeight="1" spans="1:24">
      <c r="A28" s="3" t="s">
        <v>346</v>
      </c>
      <c r="B28" s="3" t="s">
        <v>67</v>
      </c>
      <c r="C28" s="3" t="s">
        <v>347</v>
      </c>
      <c r="D28" s="24">
        <f>VLOOKUP(B28,'01 参数'!$A$14:$B$23,2,FALSE)/COUNTIF($B$6:$B$89,B28)</f>
        <v>1</v>
      </c>
      <c r="E28" s="3" t="s">
        <v>111</v>
      </c>
      <c r="F28" s="10" t="s">
        <v>1054</v>
      </c>
      <c r="G28" s="10">
        <v>0</v>
      </c>
      <c r="H28" s="10">
        <v>2</v>
      </c>
      <c r="I28" s="10" t="s">
        <v>1055</v>
      </c>
      <c r="J28" s="10" t="s">
        <v>1107</v>
      </c>
      <c r="K28" s="10"/>
      <c r="L28" s="10" t="s">
        <v>1061</v>
      </c>
      <c r="M28" s="11">
        <v>46310</v>
      </c>
      <c r="N28" s="25" t="s">
        <v>61</v>
      </c>
      <c r="O28" s="10" t="s">
        <v>76</v>
      </c>
      <c r="P28" s="9" t="str">
        <f t="shared" si="5"/>
        <v>已评分</v>
      </c>
      <c r="Q28" s="24">
        <f t="shared" si="0"/>
        <v>1</v>
      </c>
      <c r="R28" s="24">
        <f t="shared" si="1"/>
        <v>0</v>
      </c>
      <c r="S28" s="26">
        <f t="shared" si="2"/>
        <v>2</v>
      </c>
      <c r="T28" s="9" t="str">
        <f t="shared" si="3"/>
        <v>高：关键基础补齐</v>
      </c>
      <c r="U28" s="10" t="s">
        <v>1062</v>
      </c>
      <c r="V28" s="11">
        <v>46315</v>
      </c>
      <c r="W28" s="9" t="str">
        <f t="shared" si="4"/>
        <v>已明确</v>
      </c>
      <c r="X28" s="2" t="s">
        <v>1108</v>
      </c>
    </row>
    <row r="29" ht="152" customHeight="1" spans="1:24">
      <c r="A29" s="3" t="s">
        <v>357</v>
      </c>
      <c r="B29" s="3" t="s">
        <v>67</v>
      </c>
      <c r="C29" s="3" t="s">
        <v>358</v>
      </c>
      <c r="D29" s="24">
        <f>VLOOKUP(B29,'01 参数'!$A$14:$B$23,2,FALSE)/COUNTIF($B$6:$B$89,B29)</f>
        <v>1</v>
      </c>
      <c r="E29" s="3" t="s">
        <v>145</v>
      </c>
      <c r="F29" s="10" t="s">
        <v>1054</v>
      </c>
      <c r="G29" s="10">
        <v>2</v>
      </c>
      <c r="H29" s="10">
        <v>4</v>
      </c>
      <c r="I29" s="10" t="s">
        <v>1055</v>
      </c>
      <c r="J29" s="10" t="s">
        <v>1109</v>
      </c>
      <c r="K29" s="10"/>
      <c r="L29" s="10" t="s">
        <v>1061</v>
      </c>
      <c r="M29" s="11">
        <v>46310</v>
      </c>
      <c r="N29" s="25" t="s">
        <v>61</v>
      </c>
      <c r="O29" s="10" t="s">
        <v>76</v>
      </c>
      <c r="P29" s="9" t="str">
        <f t="shared" si="5"/>
        <v>已评分</v>
      </c>
      <c r="Q29" s="24">
        <f t="shared" si="0"/>
        <v>1</v>
      </c>
      <c r="R29" s="24">
        <f t="shared" si="1"/>
        <v>0.4</v>
      </c>
      <c r="S29" s="26">
        <f t="shared" si="2"/>
        <v>2</v>
      </c>
      <c r="T29" s="9" t="str">
        <f t="shared" si="3"/>
        <v>高：业务改善</v>
      </c>
      <c r="U29" s="10" t="s">
        <v>1062</v>
      </c>
      <c r="V29" s="11">
        <v>46315</v>
      </c>
      <c r="W29" s="9" t="str">
        <f t="shared" si="4"/>
        <v>已明确</v>
      </c>
      <c r="X29" s="2" t="s">
        <v>1110</v>
      </c>
    </row>
    <row r="30" ht="152" customHeight="1" spans="1:24">
      <c r="A30" s="3" t="s">
        <v>368</v>
      </c>
      <c r="B30" s="3" t="s">
        <v>68</v>
      </c>
      <c r="C30" s="3" t="s">
        <v>369</v>
      </c>
      <c r="D30" s="24">
        <f>VLOOKUP(B30,'01 参数'!$A$14:$B$23,2,FALSE)/COUNTIF($B$6:$B$89,B30)</f>
        <v>2</v>
      </c>
      <c r="E30" s="3" t="s">
        <v>111</v>
      </c>
      <c r="F30" s="10" t="s">
        <v>1054</v>
      </c>
      <c r="G30" s="10">
        <v>2</v>
      </c>
      <c r="H30" s="10">
        <v>5</v>
      </c>
      <c r="I30" s="10" t="s">
        <v>1055</v>
      </c>
      <c r="J30" s="10" t="s">
        <v>1111</v>
      </c>
      <c r="K30" s="10"/>
      <c r="L30" s="10" t="s">
        <v>1061</v>
      </c>
      <c r="M30" s="11">
        <v>46310</v>
      </c>
      <c r="N30" s="25" t="s">
        <v>61</v>
      </c>
      <c r="O30" s="10" t="s">
        <v>76</v>
      </c>
      <c r="P30" s="9" t="str">
        <f t="shared" si="5"/>
        <v>已评分</v>
      </c>
      <c r="Q30" s="24">
        <f t="shared" si="0"/>
        <v>2</v>
      </c>
      <c r="R30" s="24">
        <f t="shared" si="1"/>
        <v>0.8</v>
      </c>
      <c r="S30" s="26">
        <f t="shared" si="2"/>
        <v>3</v>
      </c>
      <c r="T30" s="9" t="str">
        <f t="shared" si="3"/>
        <v>高：关键基础补齐</v>
      </c>
      <c r="U30" s="10" t="s">
        <v>1062</v>
      </c>
      <c r="V30" s="11">
        <v>46315</v>
      </c>
      <c r="W30" s="9" t="str">
        <f t="shared" si="4"/>
        <v>已明确</v>
      </c>
      <c r="X30" s="2" t="s">
        <v>1112</v>
      </c>
    </row>
    <row r="31" ht="152" customHeight="1" spans="1:24">
      <c r="A31" s="3" t="s">
        <v>380</v>
      </c>
      <c r="B31" s="3" t="s">
        <v>68</v>
      </c>
      <c r="C31" s="3" t="s">
        <v>381</v>
      </c>
      <c r="D31" s="24">
        <f>VLOOKUP(B31,'01 参数'!$A$14:$B$23,2,FALSE)/COUNTIF($B$6:$B$89,B31)</f>
        <v>2</v>
      </c>
      <c r="E31" s="3" t="s">
        <v>111</v>
      </c>
      <c r="F31" s="10" t="s">
        <v>1054</v>
      </c>
      <c r="G31" s="10">
        <v>1</v>
      </c>
      <c r="H31" s="10">
        <v>4</v>
      </c>
      <c r="I31" s="10" t="s">
        <v>1055</v>
      </c>
      <c r="J31" s="10" t="s">
        <v>1113</v>
      </c>
      <c r="K31" s="10"/>
      <c r="L31" s="10" t="s">
        <v>1061</v>
      </c>
      <c r="M31" s="11">
        <v>46310</v>
      </c>
      <c r="N31" s="25" t="s">
        <v>61</v>
      </c>
      <c r="O31" s="10" t="s">
        <v>76</v>
      </c>
      <c r="P31" s="9" t="str">
        <f t="shared" si="5"/>
        <v>已评分</v>
      </c>
      <c r="Q31" s="24">
        <f t="shared" si="0"/>
        <v>2</v>
      </c>
      <c r="R31" s="24">
        <f t="shared" si="1"/>
        <v>0.4</v>
      </c>
      <c r="S31" s="26">
        <f t="shared" si="2"/>
        <v>3</v>
      </c>
      <c r="T31" s="9" t="str">
        <f t="shared" si="3"/>
        <v>高：关键基础补齐</v>
      </c>
      <c r="U31" s="10" t="s">
        <v>1062</v>
      </c>
      <c r="V31" s="11">
        <v>46315</v>
      </c>
      <c r="W31" s="9" t="str">
        <f t="shared" si="4"/>
        <v>已明确</v>
      </c>
      <c r="X31" s="2" t="s">
        <v>1114</v>
      </c>
    </row>
    <row r="32" ht="152" customHeight="1" spans="1:24">
      <c r="A32" s="3" t="s">
        <v>390</v>
      </c>
      <c r="B32" s="3" t="s">
        <v>68</v>
      </c>
      <c r="C32" s="3" t="s">
        <v>391</v>
      </c>
      <c r="D32" s="24">
        <f>VLOOKUP(B32,'01 参数'!$A$14:$B$23,2,FALSE)/COUNTIF($B$6:$B$89,B32)</f>
        <v>2</v>
      </c>
      <c r="E32" s="3" t="s">
        <v>111</v>
      </c>
      <c r="F32" s="10" t="s">
        <v>1054</v>
      </c>
      <c r="G32" s="10">
        <v>2</v>
      </c>
      <c r="H32" s="10">
        <v>3</v>
      </c>
      <c r="I32" s="10" t="s">
        <v>1055</v>
      </c>
      <c r="J32" s="10" t="s">
        <v>1115</v>
      </c>
      <c r="K32" s="10"/>
      <c r="L32" s="10" t="s">
        <v>1061</v>
      </c>
      <c r="M32" s="11">
        <v>46310</v>
      </c>
      <c r="N32" s="25" t="s">
        <v>61</v>
      </c>
      <c r="O32" s="10" t="s">
        <v>76</v>
      </c>
      <c r="P32" s="9" t="str">
        <f t="shared" si="5"/>
        <v>已评分</v>
      </c>
      <c r="Q32" s="24">
        <f t="shared" si="0"/>
        <v>2</v>
      </c>
      <c r="R32" s="24">
        <f t="shared" si="1"/>
        <v>0.8</v>
      </c>
      <c r="S32" s="26">
        <f t="shared" si="2"/>
        <v>1</v>
      </c>
      <c r="T32" s="9" t="str">
        <f t="shared" si="3"/>
        <v>高：关键基础补齐</v>
      </c>
      <c r="U32" s="10" t="s">
        <v>1062</v>
      </c>
      <c r="V32" s="11">
        <v>46315</v>
      </c>
      <c r="W32" s="9" t="str">
        <f t="shared" si="4"/>
        <v>已明确</v>
      </c>
      <c r="X32" s="2" t="s">
        <v>1116</v>
      </c>
    </row>
    <row r="33" ht="152" customHeight="1" spans="1:24">
      <c r="A33" s="3" t="s">
        <v>400</v>
      </c>
      <c r="B33" s="3" t="s">
        <v>68</v>
      </c>
      <c r="C33" s="3" t="s">
        <v>401</v>
      </c>
      <c r="D33" s="24">
        <f>VLOOKUP(B33,'01 参数'!$A$14:$B$23,2,FALSE)/COUNTIF($B$6:$B$89,B33)</f>
        <v>2</v>
      </c>
      <c r="E33" s="3" t="s">
        <v>111</v>
      </c>
      <c r="F33" s="10" t="s">
        <v>1054</v>
      </c>
      <c r="G33" s="10">
        <v>2</v>
      </c>
      <c r="H33" s="10">
        <v>4</v>
      </c>
      <c r="I33" s="10" t="s">
        <v>1055</v>
      </c>
      <c r="J33" s="10" t="s">
        <v>1117</v>
      </c>
      <c r="K33" s="10"/>
      <c r="L33" s="10" t="s">
        <v>1061</v>
      </c>
      <c r="M33" s="11">
        <v>46310</v>
      </c>
      <c r="N33" s="25" t="s">
        <v>61</v>
      </c>
      <c r="O33" s="10" t="s">
        <v>76</v>
      </c>
      <c r="P33" s="9" t="str">
        <f t="shared" si="5"/>
        <v>已评分</v>
      </c>
      <c r="Q33" s="24">
        <f t="shared" si="0"/>
        <v>2</v>
      </c>
      <c r="R33" s="24">
        <f t="shared" si="1"/>
        <v>0.8</v>
      </c>
      <c r="S33" s="26">
        <f t="shared" si="2"/>
        <v>2</v>
      </c>
      <c r="T33" s="9" t="str">
        <f t="shared" si="3"/>
        <v>高：关键基础补齐</v>
      </c>
      <c r="U33" s="10" t="s">
        <v>1062</v>
      </c>
      <c r="V33" s="11">
        <v>46315</v>
      </c>
      <c r="W33" s="9" t="str">
        <f t="shared" si="4"/>
        <v>已明确</v>
      </c>
      <c r="X33" s="2" t="s">
        <v>1118</v>
      </c>
    </row>
    <row r="34" ht="152" customHeight="1" spans="1:24">
      <c r="A34" s="3" t="s">
        <v>410</v>
      </c>
      <c r="B34" s="3" t="s">
        <v>68</v>
      </c>
      <c r="C34" s="3" t="s">
        <v>411</v>
      </c>
      <c r="D34" s="24">
        <f>VLOOKUP(B34,'01 参数'!$A$14:$B$23,2,FALSE)/COUNTIF($B$6:$B$89,B34)</f>
        <v>2</v>
      </c>
      <c r="E34" s="3" t="s">
        <v>145</v>
      </c>
      <c r="F34" s="10" t="s">
        <v>1054</v>
      </c>
      <c r="G34" s="10">
        <v>3</v>
      </c>
      <c r="H34" s="10">
        <v>3</v>
      </c>
      <c r="I34" s="10" t="s">
        <v>1055</v>
      </c>
      <c r="J34" s="10" t="s">
        <v>1119</v>
      </c>
      <c r="K34" s="10"/>
      <c r="L34" s="10" t="s">
        <v>1057</v>
      </c>
      <c r="M34" s="11">
        <v>46310</v>
      </c>
      <c r="N34" s="25" t="s">
        <v>61</v>
      </c>
      <c r="O34" s="10" t="s">
        <v>76</v>
      </c>
      <c r="P34" s="9" t="str">
        <f t="shared" si="5"/>
        <v>已评分</v>
      </c>
      <c r="Q34" s="24">
        <f t="shared" si="0"/>
        <v>2</v>
      </c>
      <c r="R34" s="24">
        <f t="shared" si="1"/>
        <v>1.2</v>
      </c>
      <c r="S34" s="26">
        <f t="shared" si="2"/>
        <v>0</v>
      </c>
      <c r="T34" s="9" t="str">
        <f t="shared" si="3"/>
        <v>保持/持续验证</v>
      </c>
      <c r="U34" s="10" t="s">
        <v>1058</v>
      </c>
      <c r="V34" s="11">
        <v>46315</v>
      </c>
      <c r="W34" s="9" t="str">
        <f t="shared" si="4"/>
        <v>已明确</v>
      </c>
      <c r="X34" s="2" t="s">
        <v>1120</v>
      </c>
    </row>
    <row r="35" ht="152" customHeight="1" spans="1:24">
      <c r="A35" s="3" t="s">
        <v>421</v>
      </c>
      <c r="B35" s="3" t="s">
        <v>68</v>
      </c>
      <c r="C35" s="3" t="s">
        <v>422</v>
      </c>
      <c r="D35" s="24">
        <f>VLOOKUP(B35,'01 参数'!$A$14:$B$23,2,FALSE)/COUNTIF($B$6:$B$89,B35)</f>
        <v>2</v>
      </c>
      <c r="E35" s="3" t="s">
        <v>145</v>
      </c>
      <c r="F35" s="10" t="s">
        <v>1075</v>
      </c>
      <c r="G35" s="10"/>
      <c r="H35" s="10"/>
      <c r="I35" s="10"/>
      <c r="J35" s="10" t="s">
        <v>1121</v>
      </c>
      <c r="K35" s="25" t="s">
        <v>1075</v>
      </c>
      <c r="L35" s="10" t="s">
        <v>1057</v>
      </c>
      <c r="M35" s="11">
        <v>46310</v>
      </c>
      <c r="N35" s="25" t="s">
        <v>61</v>
      </c>
      <c r="O35" s="10" t="s">
        <v>76</v>
      </c>
      <c r="P35" s="9" t="str">
        <f t="shared" si="5"/>
        <v>已排除</v>
      </c>
      <c r="Q35" s="24">
        <f t="shared" si="0"/>
        <v>0</v>
      </c>
      <c r="R35" s="24">
        <f t="shared" si="1"/>
        <v>0</v>
      </c>
      <c r="S35" s="26" t="str">
        <f t="shared" si="2"/>
        <v/>
      </c>
      <c r="T35" s="9" t="str">
        <f t="shared" si="3"/>
        <v>不适用</v>
      </c>
      <c r="U35" s="10" t="s">
        <v>1058</v>
      </c>
      <c r="V35" s="11">
        <v>46315</v>
      </c>
      <c r="W35" s="9" t="str">
        <f t="shared" si="4"/>
        <v>不适用</v>
      </c>
      <c r="X35" s="2" t="s">
        <v>1122</v>
      </c>
    </row>
    <row r="36" ht="152" customHeight="1" spans="1:24">
      <c r="A36" s="3" t="s">
        <v>432</v>
      </c>
      <c r="B36" s="3" t="s">
        <v>68</v>
      </c>
      <c r="C36" s="3" t="s">
        <v>433</v>
      </c>
      <c r="D36" s="24">
        <f>VLOOKUP(B36,'01 参数'!$A$14:$B$23,2,FALSE)/COUNTIF($B$6:$B$89,B36)</f>
        <v>2</v>
      </c>
      <c r="E36" s="3" t="s">
        <v>145</v>
      </c>
      <c r="F36" s="10" t="s">
        <v>1075</v>
      </c>
      <c r="G36" s="10"/>
      <c r="H36" s="10"/>
      <c r="I36" s="10"/>
      <c r="J36" s="10" t="s">
        <v>1123</v>
      </c>
      <c r="K36" s="25" t="s">
        <v>1075</v>
      </c>
      <c r="L36" s="10" t="s">
        <v>1057</v>
      </c>
      <c r="M36" s="11">
        <v>46310</v>
      </c>
      <c r="N36" s="25" t="s">
        <v>61</v>
      </c>
      <c r="O36" s="10" t="s">
        <v>76</v>
      </c>
      <c r="P36" s="9" t="str">
        <f t="shared" si="5"/>
        <v>已排除</v>
      </c>
      <c r="Q36" s="24">
        <f t="shared" si="0"/>
        <v>0</v>
      </c>
      <c r="R36" s="24">
        <f t="shared" si="1"/>
        <v>0</v>
      </c>
      <c r="S36" s="26" t="str">
        <f t="shared" si="2"/>
        <v/>
      </c>
      <c r="T36" s="9" t="str">
        <f t="shared" si="3"/>
        <v>不适用</v>
      </c>
      <c r="U36" s="10" t="s">
        <v>1058</v>
      </c>
      <c r="V36" s="11">
        <v>46315</v>
      </c>
      <c r="W36" s="9" t="str">
        <f t="shared" si="4"/>
        <v>不适用</v>
      </c>
      <c r="X36" s="2" t="s">
        <v>1124</v>
      </c>
    </row>
    <row r="37" ht="152" customHeight="1" spans="1:24">
      <c r="A37" s="3" t="s">
        <v>443</v>
      </c>
      <c r="B37" s="3" t="s">
        <v>68</v>
      </c>
      <c r="C37" s="3" t="s">
        <v>444</v>
      </c>
      <c r="D37" s="24">
        <f>VLOOKUP(B37,'01 参数'!$A$14:$B$23,2,FALSE)/COUNTIF($B$6:$B$89,B37)</f>
        <v>2</v>
      </c>
      <c r="E37" s="3" t="s">
        <v>111</v>
      </c>
      <c r="F37" s="10" t="s">
        <v>1054</v>
      </c>
      <c r="G37" s="10">
        <v>2</v>
      </c>
      <c r="H37" s="10">
        <v>3</v>
      </c>
      <c r="I37" s="10" t="s">
        <v>1055</v>
      </c>
      <c r="J37" s="10" t="s">
        <v>1125</v>
      </c>
      <c r="K37" s="10"/>
      <c r="L37" s="10" t="s">
        <v>1061</v>
      </c>
      <c r="M37" s="11">
        <v>46310</v>
      </c>
      <c r="N37" s="25" t="s">
        <v>61</v>
      </c>
      <c r="O37" s="10" t="s">
        <v>76</v>
      </c>
      <c r="P37" s="9" t="str">
        <f t="shared" si="5"/>
        <v>已评分</v>
      </c>
      <c r="Q37" s="24">
        <f t="shared" si="0"/>
        <v>2</v>
      </c>
      <c r="R37" s="24">
        <f t="shared" si="1"/>
        <v>0.8</v>
      </c>
      <c r="S37" s="26">
        <f t="shared" si="2"/>
        <v>1</v>
      </c>
      <c r="T37" s="9" t="str">
        <f t="shared" si="3"/>
        <v>高：关键基础补齐</v>
      </c>
      <c r="U37" s="10" t="s">
        <v>1062</v>
      </c>
      <c r="V37" s="11">
        <v>46315</v>
      </c>
      <c r="W37" s="9" t="str">
        <f t="shared" si="4"/>
        <v>已明确</v>
      </c>
      <c r="X37" s="2" t="s">
        <v>1126</v>
      </c>
    </row>
    <row r="38" ht="152" customHeight="1" spans="1:24">
      <c r="A38" s="3" t="s">
        <v>454</v>
      </c>
      <c r="B38" s="3" t="s">
        <v>68</v>
      </c>
      <c r="C38" s="3" t="s">
        <v>455</v>
      </c>
      <c r="D38" s="24">
        <f>VLOOKUP(B38,'01 参数'!$A$14:$B$23,2,FALSE)/COUNTIF($B$6:$B$89,B38)</f>
        <v>2</v>
      </c>
      <c r="E38" s="3" t="s">
        <v>145</v>
      </c>
      <c r="F38" s="10" t="s">
        <v>1054</v>
      </c>
      <c r="G38" s="10">
        <v>2</v>
      </c>
      <c r="H38" s="10">
        <v>3</v>
      </c>
      <c r="I38" s="10" t="s">
        <v>1055</v>
      </c>
      <c r="J38" s="10" t="s">
        <v>1127</v>
      </c>
      <c r="K38" s="10"/>
      <c r="L38" s="10" t="s">
        <v>1061</v>
      </c>
      <c r="M38" s="11">
        <v>46310</v>
      </c>
      <c r="N38" s="25" t="s">
        <v>61</v>
      </c>
      <c r="O38" s="10" t="s">
        <v>76</v>
      </c>
      <c r="P38" s="9" t="str">
        <f t="shared" si="5"/>
        <v>已评分</v>
      </c>
      <c r="Q38" s="24">
        <f t="shared" si="0"/>
        <v>2</v>
      </c>
      <c r="R38" s="24">
        <f t="shared" si="1"/>
        <v>0.8</v>
      </c>
      <c r="S38" s="26">
        <f t="shared" si="2"/>
        <v>1</v>
      </c>
      <c r="T38" s="9" t="str">
        <f t="shared" si="3"/>
        <v>高：业务改善</v>
      </c>
      <c r="U38" s="10" t="s">
        <v>1062</v>
      </c>
      <c r="V38" s="11">
        <v>46315</v>
      </c>
      <c r="W38" s="9" t="str">
        <f t="shared" si="4"/>
        <v>已明确</v>
      </c>
      <c r="X38" s="2" t="s">
        <v>1128</v>
      </c>
    </row>
    <row r="39" ht="152" customHeight="1" spans="1:24">
      <c r="A39" s="3" t="s">
        <v>464</v>
      </c>
      <c r="B39" s="3" t="s">
        <v>68</v>
      </c>
      <c r="C39" s="3" t="s">
        <v>465</v>
      </c>
      <c r="D39" s="24">
        <f>VLOOKUP(B39,'01 参数'!$A$14:$B$23,2,FALSE)/COUNTIF($B$6:$B$89,B39)</f>
        <v>2</v>
      </c>
      <c r="E39" s="3" t="s">
        <v>145</v>
      </c>
      <c r="F39" s="10" t="s">
        <v>1075</v>
      </c>
      <c r="G39" s="10"/>
      <c r="H39" s="10"/>
      <c r="I39" s="10"/>
      <c r="J39" s="10" t="s">
        <v>1129</v>
      </c>
      <c r="K39" s="25" t="s">
        <v>1075</v>
      </c>
      <c r="L39" s="10" t="s">
        <v>1061</v>
      </c>
      <c r="M39" s="11">
        <v>46310</v>
      </c>
      <c r="N39" s="25" t="s">
        <v>61</v>
      </c>
      <c r="O39" s="10" t="s">
        <v>76</v>
      </c>
      <c r="P39" s="9" t="str">
        <f t="shared" si="5"/>
        <v>已排除</v>
      </c>
      <c r="Q39" s="24">
        <f t="shared" si="0"/>
        <v>0</v>
      </c>
      <c r="R39" s="24">
        <f t="shared" si="1"/>
        <v>0</v>
      </c>
      <c r="S39" s="26" t="str">
        <f t="shared" si="2"/>
        <v/>
      </c>
      <c r="T39" s="9" t="str">
        <f t="shared" si="3"/>
        <v>不适用</v>
      </c>
      <c r="U39" s="10" t="s">
        <v>1062</v>
      </c>
      <c r="V39" s="11">
        <v>46315</v>
      </c>
      <c r="W39" s="9" t="str">
        <f t="shared" si="4"/>
        <v>不适用</v>
      </c>
      <c r="X39" s="2" t="s">
        <v>1130</v>
      </c>
    </row>
    <row r="40" ht="152" customHeight="1" spans="1:24">
      <c r="A40" s="3" t="s">
        <v>475</v>
      </c>
      <c r="B40" s="3" t="s">
        <v>69</v>
      </c>
      <c r="C40" s="3" t="s">
        <v>476</v>
      </c>
      <c r="D40" s="24">
        <f>VLOOKUP(B40,'01 参数'!$A$14:$B$23,2,FALSE)/COUNTIF($B$6:$B$89,B40)</f>
        <v>1.5</v>
      </c>
      <c r="E40" s="3" t="s">
        <v>111</v>
      </c>
      <c r="F40" s="10" t="s">
        <v>1054</v>
      </c>
      <c r="G40" s="10">
        <v>2</v>
      </c>
      <c r="H40" s="10">
        <v>5</v>
      </c>
      <c r="I40" s="10" t="s">
        <v>1055</v>
      </c>
      <c r="J40" s="10" t="s">
        <v>1131</v>
      </c>
      <c r="K40" s="10"/>
      <c r="L40" s="10" t="s">
        <v>1061</v>
      </c>
      <c r="M40" s="11">
        <v>46310</v>
      </c>
      <c r="N40" s="25" t="s">
        <v>61</v>
      </c>
      <c r="O40" s="10" t="s">
        <v>76</v>
      </c>
      <c r="P40" s="9" t="str">
        <f t="shared" si="5"/>
        <v>已评分</v>
      </c>
      <c r="Q40" s="24">
        <f t="shared" si="0"/>
        <v>1.5</v>
      </c>
      <c r="R40" s="24">
        <f t="shared" si="1"/>
        <v>0.6</v>
      </c>
      <c r="S40" s="26">
        <f t="shared" si="2"/>
        <v>3</v>
      </c>
      <c r="T40" s="9" t="str">
        <f t="shared" si="3"/>
        <v>高：关键基础补齐</v>
      </c>
      <c r="U40" s="10" t="s">
        <v>1062</v>
      </c>
      <c r="V40" s="11">
        <v>46315</v>
      </c>
      <c r="W40" s="9" t="str">
        <f t="shared" si="4"/>
        <v>已明确</v>
      </c>
      <c r="X40" s="2" t="s">
        <v>1132</v>
      </c>
    </row>
    <row r="41" ht="152" customHeight="1" spans="1:24">
      <c r="A41" s="3" t="s">
        <v>487</v>
      </c>
      <c r="B41" s="3" t="s">
        <v>69</v>
      </c>
      <c r="C41" s="3" t="s">
        <v>488</v>
      </c>
      <c r="D41" s="24">
        <f>VLOOKUP(B41,'01 参数'!$A$14:$B$23,2,FALSE)/COUNTIF($B$6:$B$89,B41)</f>
        <v>1.5</v>
      </c>
      <c r="E41" s="3" t="s">
        <v>145</v>
      </c>
      <c r="F41" s="10" t="s">
        <v>1054</v>
      </c>
      <c r="G41" s="10">
        <v>2</v>
      </c>
      <c r="H41" s="10">
        <v>3</v>
      </c>
      <c r="I41" s="10" t="s">
        <v>1055</v>
      </c>
      <c r="J41" s="10" t="s">
        <v>1133</v>
      </c>
      <c r="K41" s="10"/>
      <c r="L41" s="10" t="s">
        <v>1061</v>
      </c>
      <c r="M41" s="11">
        <v>46310</v>
      </c>
      <c r="N41" s="25" t="s">
        <v>61</v>
      </c>
      <c r="O41" s="10" t="s">
        <v>76</v>
      </c>
      <c r="P41" s="9" t="str">
        <f t="shared" si="5"/>
        <v>已评分</v>
      </c>
      <c r="Q41" s="24">
        <f t="shared" si="0"/>
        <v>1.5</v>
      </c>
      <c r="R41" s="24">
        <f t="shared" si="1"/>
        <v>0.6</v>
      </c>
      <c r="S41" s="26">
        <f t="shared" si="2"/>
        <v>1</v>
      </c>
      <c r="T41" s="9" t="str">
        <f t="shared" si="3"/>
        <v>高：业务改善</v>
      </c>
      <c r="U41" s="10" t="s">
        <v>1062</v>
      </c>
      <c r="V41" s="11">
        <v>46315</v>
      </c>
      <c r="W41" s="9" t="str">
        <f t="shared" si="4"/>
        <v>已明确</v>
      </c>
      <c r="X41" s="2" t="s">
        <v>1134</v>
      </c>
    </row>
    <row r="42" ht="152" customHeight="1" spans="1:24">
      <c r="A42" s="3" t="s">
        <v>498</v>
      </c>
      <c r="B42" s="3" t="s">
        <v>69</v>
      </c>
      <c r="C42" s="3" t="s">
        <v>499</v>
      </c>
      <c r="D42" s="24">
        <f>VLOOKUP(B42,'01 参数'!$A$14:$B$23,2,FALSE)/COUNTIF($B$6:$B$89,B42)</f>
        <v>1.5</v>
      </c>
      <c r="E42" s="3" t="s">
        <v>145</v>
      </c>
      <c r="F42" s="10" t="s">
        <v>1054</v>
      </c>
      <c r="G42" s="10">
        <v>2</v>
      </c>
      <c r="H42" s="10">
        <v>3</v>
      </c>
      <c r="I42" s="10" t="s">
        <v>1055</v>
      </c>
      <c r="J42" s="10" t="s">
        <v>1135</v>
      </c>
      <c r="K42" s="10"/>
      <c r="L42" s="10" t="s">
        <v>1061</v>
      </c>
      <c r="M42" s="11">
        <v>46310</v>
      </c>
      <c r="N42" s="25" t="s">
        <v>61</v>
      </c>
      <c r="O42" s="10" t="s">
        <v>76</v>
      </c>
      <c r="P42" s="9" t="str">
        <f t="shared" si="5"/>
        <v>已评分</v>
      </c>
      <c r="Q42" s="24">
        <f t="shared" si="0"/>
        <v>1.5</v>
      </c>
      <c r="R42" s="24">
        <f t="shared" si="1"/>
        <v>0.6</v>
      </c>
      <c r="S42" s="26">
        <f t="shared" si="2"/>
        <v>1</v>
      </c>
      <c r="T42" s="9" t="str">
        <f t="shared" si="3"/>
        <v>高：业务改善</v>
      </c>
      <c r="U42" s="10" t="s">
        <v>1062</v>
      </c>
      <c r="V42" s="11">
        <v>46315</v>
      </c>
      <c r="W42" s="9" t="str">
        <f t="shared" si="4"/>
        <v>已明确</v>
      </c>
      <c r="X42" s="2" t="s">
        <v>1136</v>
      </c>
    </row>
    <row r="43" ht="152" customHeight="1" spans="1:24">
      <c r="A43" s="3" t="s">
        <v>509</v>
      </c>
      <c r="B43" s="3" t="s">
        <v>69</v>
      </c>
      <c r="C43" s="3" t="s">
        <v>510</v>
      </c>
      <c r="D43" s="24">
        <f>VLOOKUP(B43,'01 参数'!$A$14:$B$23,2,FALSE)/COUNTIF($B$6:$B$89,B43)</f>
        <v>1.5</v>
      </c>
      <c r="E43" s="3" t="s">
        <v>111</v>
      </c>
      <c r="F43" s="10" t="s">
        <v>1054</v>
      </c>
      <c r="G43" s="10">
        <v>2</v>
      </c>
      <c r="H43" s="10">
        <v>3</v>
      </c>
      <c r="I43" s="10" t="s">
        <v>1055</v>
      </c>
      <c r="J43" s="10" t="s">
        <v>1137</v>
      </c>
      <c r="K43" s="10"/>
      <c r="L43" s="10" t="s">
        <v>1061</v>
      </c>
      <c r="M43" s="11">
        <v>46310</v>
      </c>
      <c r="N43" s="25" t="s">
        <v>61</v>
      </c>
      <c r="O43" s="10" t="s">
        <v>76</v>
      </c>
      <c r="P43" s="9" t="str">
        <f t="shared" si="5"/>
        <v>已评分</v>
      </c>
      <c r="Q43" s="24">
        <f t="shared" si="0"/>
        <v>1.5</v>
      </c>
      <c r="R43" s="24">
        <f t="shared" si="1"/>
        <v>0.6</v>
      </c>
      <c r="S43" s="26">
        <f t="shared" si="2"/>
        <v>1</v>
      </c>
      <c r="T43" s="9" t="str">
        <f t="shared" si="3"/>
        <v>高：关键基础补齐</v>
      </c>
      <c r="U43" s="10" t="s">
        <v>1062</v>
      </c>
      <c r="V43" s="11">
        <v>46315</v>
      </c>
      <c r="W43" s="9" t="str">
        <f t="shared" si="4"/>
        <v>已明确</v>
      </c>
      <c r="X43" s="2" t="s">
        <v>1138</v>
      </c>
    </row>
    <row r="44" ht="152" customHeight="1" spans="1:24">
      <c r="A44" s="3" t="s">
        <v>520</v>
      </c>
      <c r="B44" s="3" t="s">
        <v>69</v>
      </c>
      <c r="C44" s="3" t="s">
        <v>521</v>
      </c>
      <c r="D44" s="24">
        <f>VLOOKUP(B44,'01 参数'!$A$14:$B$23,2,FALSE)/COUNTIF($B$6:$B$89,B44)</f>
        <v>1.5</v>
      </c>
      <c r="E44" s="3" t="s">
        <v>145</v>
      </c>
      <c r="F44" s="10" t="s">
        <v>1054</v>
      </c>
      <c r="G44" s="10">
        <v>1</v>
      </c>
      <c r="H44" s="10">
        <v>3</v>
      </c>
      <c r="I44" s="10" t="s">
        <v>1055</v>
      </c>
      <c r="J44" s="10" t="s">
        <v>1139</v>
      </c>
      <c r="K44" s="10"/>
      <c r="L44" s="10" t="s">
        <v>1061</v>
      </c>
      <c r="M44" s="11">
        <v>46310</v>
      </c>
      <c r="N44" s="25" t="s">
        <v>61</v>
      </c>
      <c r="O44" s="10" t="s">
        <v>76</v>
      </c>
      <c r="P44" s="9" t="str">
        <f t="shared" si="5"/>
        <v>已评分</v>
      </c>
      <c r="Q44" s="24">
        <f t="shared" si="0"/>
        <v>1.5</v>
      </c>
      <c r="R44" s="24">
        <f t="shared" si="1"/>
        <v>0.3</v>
      </c>
      <c r="S44" s="26">
        <f t="shared" si="2"/>
        <v>2</v>
      </c>
      <c r="T44" s="9" t="str">
        <f t="shared" si="3"/>
        <v>高：业务改善</v>
      </c>
      <c r="U44" s="10" t="s">
        <v>1062</v>
      </c>
      <c r="V44" s="11">
        <v>46315</v>
      </c>
      <c r="W44" s="9" t="str">
        <f t="shared" si="4"/>
        <v>已明确</v>
      </c>
      <c r="X44" s="2" t="s">
        <v>1140</v>
      </c>
    </row>
    <row r="45" ht="152" customHeight="1" spans="1:24">
      <c r="A45" s="3" t="s">
        <v>531</v>
      </c>
      <c r="B45" s="3" t="s">
        <v>69</v>
      </c>
      <c r="C45" s="3" t="s">
        <v>532</v>
      </c>
      <c r="D45" s="24">
        <f>VLOOKUP(B45,'01 参数'!$A$14:$B$23,2,FALSE)/COUNTIF($B$6:$B$89,B45)</f>
        <v>1.5</v>
      </c>
      <c r="E45" s="3" t="s">
        <v>145</v>
      </c>
      <c r="F45" s="10" t="s">
        <v>1075</v>
      </c>
      <c r="G45" s="10">
        <v>1</v>
      </c>
      <c r="H45" s="10"/>
      <c r="I45" s="10"/>
      <c r="J45" s="10" t="s">
        <v>1141</v>
      </c>
      <c r="K45" s="25" t="s">
        <v>1075</v>
      </c>
      <c r="L45" s="10" t="s">
        <v>1061</v>
      </c>
      <c r="M45" s="11">
        <v>46310</v>
      </c>
      <c r="N45" s="25" t="s">
        <v>61</v>
      </c>
      <c r="O45" s="10" t="s">
        <v>76</v>
      </c>
      <c r="P45" s="9" t="str">
        <f t="shared" si="5"/>
        <v>已排除</v>
      </c>
      <c r="Q45" s="24">
        <f t="shared" si="0"/>
        <v>0</v>
      </c>
      <c r="R45" s="24">
        <f t="shared" si="1"/>
        <v>0</v>
      </c>
      <c r="S45" s="26" t="str">
        <f t="shared" si="2"/>
        <v/>
      </c>
      <c r="T45" s="9" t="str">
        <f t="shared" si="3"/>
        <v>不适用</v>
      </c>
      <c r="U45" s="10" t="s">
        <v>1062</v>
      </c>
      <c r="V45" s="11">
        <v>46315</v>
      </c>
      <c r="W45" s="9" t="str">
        <f t="shared" si="4"/>
        <v>不适用</v>
      </c>
      <c r="X45" s="2" t="s">
        <v>1142</v>
      </c>
    </row>
    <row r="46" ht="152" customHeight="1" spans="1:24">
      <c r="A46" s="3" t="s">
        <v>542</v>
      </c>
      <c r="B46" s="3" t="s">
        <v>69</v>
      </c>
      <c r="C46" s="3" t="s">
        <v>543</v>
      </c>
      <c r="D46" s="24">
        <f>VLOOKUP(B46,'01 参数'!$A$14:$B$23,2,FALSE)/COUNTIF($B$6:$B$89,B46)</f>
        <v>1.5</v>
      </c>
      <c r="E46" s="3" t="s">
        <v>145</v>
      </c>
      <c r="F46" s="10" t="s">
        <v>1054</v>
      </c>
      <c r="G46" s="10">
        <v>1</v>
      </c>
      <c r="H46" s="10">
        <v>3</v>
      </c>
      <c r="I46" s="10" t="s">
        <v>1055</v>
      </c>
      <c r="J46" s="10" t="s">
        <v>1143</v>
      </c>
      <c r="K46" s="10"/>
      <c r="L46" s="10" t="s">
        <v>1057</v>
      </c>
      <c r="M46" s="11">
        <v>46310</v>
      </c>
      <c r="N46" s="25" t="s">
        <v>61</v>
      </c>
      <c r="O46" s="10" t="s">
        <v>76</v>
      </c>
      <c r="P46" s="9" t="str">
        <f t="shared" si="5"/>
        <v>已评分</v>
      </c>
      <c r="Q46" s="24">
        <f t="shared" si="0"/>
        <v>1.5</v>
      </c>
      <c r="R46" s="24">
        <f t="shared" si="1"/>
        <v>0.3</v>
      </c>
      <c r="S46" s="26">
        <f t="shared" si="2"/>
        <v>2</v>
      </c>
      <c r="T46" s="9" t="str">
        <f t="shared" si="3"/>
        <v>高：业务改善</v>
      </c>
      <c r="U46" s="10" t="s">
        <v>1058</v>
      </c>
      <c r="V46" s="11">
        <v>46315</v>
      </c>
      <c r="W46" s="9" t="str">
        <f t="shared" si="4"/>
        <v>已明确</v>
      </c>
      <c r="X46" s="2" t="s">
        <v>1144</v>
      </c>
    </row>
    <row r="47" ht="152" customHeight="1" spans="1:24">
      <c r="A47" s="3" t="s">
        <v>553</v>
      </c>
      <c r="B47" s="3" t="s">
        <v>69</v>
      </c>
      <c r="C47" s="3" t="s">
        <v>554</v>
      </c>
      <c r="D47" s="24">
        <f>VLOOKUP(B47,'01 参数'!$A$14:$B$23,2,FALSE)/COUNTIF($B$6:$B$89,B47)</f>
        <v>1.5</v>
      </c>
      <c r="E47" s="3" t="s">
        <v>145</v>
      </c>
      <c r="F47" s="10" t="s">
        <v>1054</v>
      </c>
      <c r="G47" s="10">
        <v>2</v>
      </c>
      <c r="H47" s="10">
        <v>3</v>
      </c>
      <c r="I47" s="10" t="s">
        <v>1055</v>
      </c>
      <c r="J47" s="10" t="s">
        <v>1145</v>
      </c>
      <c r="K47" s="10"/>
      <c r="L47" s="10" t="s">
        <v>1061</v>
      </c>
      <c r="M47" s="11">
        <v>46310</v>
      </c>
      <c r="N47" s="25" t="s">
        <v>61</v>
      </c>
      <c r="O47" s="10" t="s">
        <v>76</v>
      </c>
      <c r="P47" s="9" t="str">
        <f t="shared" si="5"/>
        <v>已评分</v>
      </c>
      <c r="Q47" s="24">
        <f t="shared" si="0"/>
        <v>1.5</v>
      </c>
      <c r="R47" s="24">
        <f t="shared" si="1"/>
        <v>0.6</v>
      </c>
      <c r="S47" s="26">
        <f t="shared" si="2"/>
        <v>1</v>
      </c>
      <c r="T47" s="9" t="str">
        <f t="shared" si="3"/>
        <v>高：业务改善</v>
      </c>
      <c r="U47" s="10" t="s">
        <v>1062</v>
      </c>
      <c r="V47" s="11">
        <v>46315</v>
      </c>
      <c r="W47" s="9" t="str">
        <f t="shared" si="4"/>
        <v>已明确</v>
      </c>
      <c r="X47" s="2" t="s">
        <v>1146</v>
      </c>
    </row>
    <row r="48" ht="152" customHeight="1" spans="1:24">
      <c r="A48" s="3" t="s">
        <v>564</v>
      </c>
      <c r="B48" s="3" t="s">
        <v>70</v>
      </c>
      <c r="C48" s="3" t="s">
        <v>565</v>
      </c>
      <c r="D48" s="24">
        <f>VLOOKUP(B48,'01 参数'!$A$14:$B$23,2,FALSE)/COUNTIF($B$6:$B$89,B48)</f>
        <v>2</v>
      </c>
      <c r="E48" s="3" t="s">
        <v>111</v>
      </c>
      <c r="F48" s="10" t="s">
        <v>1054</v>
      </c>
      <c r="G48" s="10">
        <v>2</v>
      </c>
      <c r="H48" s="10">
        <v>3</v>
      </c>
      <c r="I48" s="10" t="s">
        <v>1055</v>
      </c>
      <c r="J48" s="10" t="s">
        <v>1147</v>
      </c>
      <c r="K48" s="10"/>
      <c r="L48" s="10" t="s">
        <v>1148</v>
      </c>
      <c r="M48" s="11">
        <v>46315</v>
      </c>
      <c r="N48" s="25" t="s">
        <v>61</v>
      </c>
      <c r="O48" s="10" t="s">
        <v>76</v>
      </c>
      <c r="P48" s="9" t="str">
        <f t="shared" si="5"/>
        <v>已评分</v>
      </c>
      <c r="Q48" s="24">
        <f t="shared" si="0"/>
        <v>2</v>
      </c>
      <c r="R48" s="24">
        <f t="shared" si="1"/>
        <v>0.8</v>
      </c>
      <c r="S48" s="26">
        <f t="shared" si="2"/>
        <v>1</v>
      </c>
      <c r="T48" s="9" t="str">
        <f t="shared" si="3"/>
        <v>高：关键基础补齐</v>
      </c>
      <c r="U48" s="10" t="s">
        <v>1149</v>
      </c>
      <c r="V48" s="11">
        <v>46315</v>
      </c>
      <c r="W48" s="9" t="str">
        <f t="shared" si="4"/>
        <v>已明确</v>
      </c>
      <c r="X48" s="2" t="s">
        <v>1150</v>
      </c>
    </row>
    <row r="49" ht="152" customHeight="1" spans="1:24">
      <c r="A49" s="3" t="s">
        <v>576</v>
      </c>
      <c r="B49" s="3" t="s">
        <v>70</v>
      </c>
      <c r="C49" s="3" t="s">
        <v>577</v>
      </c>
      <c r="D49" s="24">
        <f>VLOOKUP(B49,'01 参数'!$A$14:$B$23,2,FALSE)/COUNTIF($B$6:$B$89,B49)</f>
        <v>2</v>
      </c>
      <c r="E49" s="3" t="s">
        <v>111</v>
      </c>
      <c r="F49" s="10" t="s">
        <v>1054</v>
      </c>
      <c r="G49" s="10">
        <v>2</v>
      </c>
      <c r="H49" s="10">
        <v>3</v>
      </c>
      <c r="I49" s="10" t="s">
        <v>1055</v>
      </c>
      <c r="J49" s="10" t="s">
        <v>1151</v>
      </c>
      <c r="K49" s="10"/>
      <c r="L49" s="10" t="s">
        <v>1148</v>
      </c>
      <c r="M49" s="11">
        <v>46315</v>
      </c>
      <c r="N49" s="25" t="s">
        <v>61</v>
      </c>
      <c r="O49" s="10" t="s">
        <v>76</v>
      </c>
      <c r="P49" s="9" t="str">
        <f t="shared" si="5"/>
        <v>已评分</v>
      </c>
      <c r="Q49" s="24">
        <f t="shared" si="0"/>
        <v>2</v>
      </c>
      <c r="R49" s="24">
        <f t="shared" si="1"/>
        <v>0.8</v>
      </c>
      <c r="S49" s="26">
        <f t="shared" si="2"/>
        <v>1</v>
      </c>
      <c r="T49" s="9" t="str">
        <f t="shared" si="3"/>
        <v>高：关键基础补齐</v>
      </c>
      <c r="U49" s="10" t="s">
        <v>1149</v>
      </c>
      <c r="V49" s="11">
        <v>46315</v>
      </c>
      <c r="W49" s="9" t="str">
        <f t="shared" si="4"/>
        <v>已明确</v>
      </c>
      <c r="X49" s="2" t="s">
        <v>1152</v>
      </c>
    </row>
    <row r="50" ht="152" customHeight="1" spans="1:24">
      <c r="A50" s="3" t="s">
        <v>587</v>
      </c>
      <c r="B50" s="3" t="s">
        <v>70</v>
      </c>
      <c r="C50" s="3" t="s">
        <v>588</v>
      </c>
      <c r="D50" s="24">
        <f>VLOOKUP(B50,'01 参数'!$A$14:$B$23,2,FALSE)/COUNTIF($B$6:$B$89,B50)</f>
        <v>2</v>
      </c>
      <c r="E50" s="3" t="s">
        <v>111</v>
      </c>
      <c r="F50" s="10" t="s">
        <v>1054</v>
      </c>
      <c r="G50" s="10">
        <v>2</v>
      </c>
      <c r="H50" s="10">
        <v>3</v>
      </c>
      <c r="I50" s="10" t="s">
        <v>1055</v>
      </c>
      <c r="J50" s="10" t="s">
        <v>1153</v>
      </c>
      <c r="K50" s="10"/>
      <c r="L50" s="10" t="s">
        <v>1148</v>
      </c>
      <c r="M50" s="11">
        <v>46315</v>
      </c>
      <c r="N50" s="25" t="s">
        <v>61</v>
      </c>
      <c r="O50" s="10" t="s">
        <v>76</v>
      </c>
      <c r="P50" s="9" t="str">
        <f t="shared" si="5"/>
        <v>已评分</v>
      </c>
      <c r="Q50" s="24">
        <f t="shared" si="0"/>
        <v>2</v>
      </c>
      <c r="R50" s="24">
        <f t="shared" si="1"/>
        <v>0.8</v>
      </c>
      <c r="S50" s="26">
        <f t="shared" si="2"/>
        <v>1</v>
      </c>
      <c r="T50" s="9" t="str">
        <f t="shared" si="3"/>
        <v>高：关键基础补齐</v>
      </c>
      <c r="U50" s="10" t="s">
        <v>1149</v>
      </c>
      <c r="V50" s="11">
        <v>46315</v>
      </c>
      <c r="W50" s="9" t="str">
        <f t="shared" si="4"/>
        <v>已明确</v>
      </c>
      <c r="X50" s="2" t="s">
        <v>1154</v>
      </c>
    </row>
    <row r="51" ht="152" customHeight="1" spans="1:24">
      <c r="A51" s="3" t="s">
        <v>598</v>
      </c>
      <c r="B51" s="3" t="s">
        <v>70</v>
      </c>
      <c r="C51" s="3" t="s">
        <v>599</v>
      </c>
      <c r="D51" s="24">
        <f>VLOOKUP(B51,'01 参数'!$A$14:$B$23,2,FALSE)/COUNTIF($B$6:$B$89,B51)</f>
        <v>2</v>
      </c>
      <c r="E51" s="3" t="s">
        <v>145</v>
      </c>
      <c r="F51" s="10" t="s">
        <v>1054</v>
      </c>
      <c r="G51" s="10">
        <v>1</v>
      </c>
      <c r="H51" s="10">
        <v>3</v>
      </c>
      <c r="I51" s="10" t="s">
        <v>1090</v>
      </c>
      <c r="J51" s="10" t="s">
        <v>1155</v>
      </c>
      <c r="K51" s="10"/>
      <c r="L51" s="10" t="s">
        <v>1148</v>
      </c>
      <c r="M51" s="11">
        <v>46315</v>
      </c>
      <c r="N51" s="25" t="s">
        <v>61</v>
      </c>
      <c r="O51" s="10" t="s">
        <v>76</v>
      </c>
      <c r="P51" s="9" t="str">
        <f t="shared" si="5"/>
        <v>已评分</v>
      </c>
      <c r="Q51" s="24">
        <f t="shared" si="0"/>
        <v>2</v>
      </c>
      <c r="R51" s="24">
        <f t="shared" si="1"/>
        <v>0.4</v>
      </c>
      <c r="S51" s="26">
        <f t="shared" si="2"/>
        <v>2</v>
      </c>
      <c r="T51" s="9" t="str">
        <f t="shared" si="3"/>
        <v>中：能力提升</v>
      </c>
      <c r="U51" s="10" t="s">
        <v>1149</v>
      </c>
      <c r="V51" s="11">
        <v>46315</v>
      </c>
      <c r="W51" s="9" t="str">
        <f t="shared" si="4"/>
        <v>已明确</v>
      </c>
      <c r="X51" s="2" t="s">
        <v>1156</v>
      </c>
    </row>
    <row r="52" ht="152" customHeight="1" spans="1:24">
      <c r="A52" s="3" t="s">
        <v>609</v>
      </c>
      <c r="B52" s="3" t="s">
        <v>70</v>
      </c>
      <c r="C52" s="3" t="s">
        <v>610</v>
      </c>
      <c r="D52" s="24">
        <f>VLOOKUP(B52,'01 参数'!$A$14:$B$23,2,FALSE)/COUNTIF($B$6:$B$89,B52)</f>
        <v>2</v>
      </c>
      <c r="E52" s="3" t="s">
        <v>145</v>
      </c>
      <c r="F52" s="10" t="s">
        <v>1054</v>
      </c>
      <c r="G52" s="10">
        <v>0</v>
      </c>
      <c r="H52" s="10">
        <v>3</v>
      </c>
      <c r="I52" s="10" t="s">
        <v>1090</v>
      </c>
      <c r="J52" s="10" t="s">
        <v>1157</v>
      </c>
      <c r="K52" s="10"/>
      <c r="L52" s="10" t="s">
        <v>1148</v>
      </c>
      <c r="M52" s="11">
        <v>46315</v>
      </c>
      <c r="N52" s="25" t="s">
        <v>61</v>
      </c>
      <c r="O52" s="10" t="s">
        <v>76</v>
      </c>
      <c r="P52" s="9" t="str">
        <f t="shared" si="5"/>
        <v>已评分</v>
      </c>
      <c r="Q52" s="24">
        <f t="shared" si="0"/>
        <v>2</v>
      </c>
      <c r="R52" s="24">
        <f t="shared" si="1"/>
        <v>0</v>
      </c>
      <c r="S52" s="26">
        <f t="shared" si="2"/>
        <v>3</v>
      </c>
      <c r="T52" s="9" t="str">
        <f t="shared" si="3"/>
        <v>中：能力提升</v>
      </c>
      <c r="U52" s="10" t="s">
        <v>1149</v>
      </c>
      <c r="V52" s="11">
        <v>46315</v>
      </c>
      <c r="W52" s="9" t="str">
        <f t="shared" si="4"/>
        <v>已明确</v>
      </c>
      <c r="X52" s="2" t="s">
        <v>1158</v>
      </c>
    </row>
    <row r="53" ht="152" customHeight="1" spans="1:24">
      <c r="A53" s="3" t="s">
        <v>620</v>
      </c>
      <c r="B53" s="3" t="s">
        <v>70</v>
      </c>
      <c r="C53" s="3" t="s">
        <v>621</v>
      </c>
      <c r="D53" s="24">
        <f>VLOOKUP(B53,'01 参数'!$A$14:$B$23,2,FALSE)/COUNTIF($B$6:$B$89,B53)</f>
        <v>2</v>
      </c>
      <c r="E53" s="3" t="s">
        <v>111</v>
      </c>
      <c r="F53" s="10" t="s">
        <v>1054</v>
      </c>
      <c r="G53" s="10">
        <v>2</v>
      </c>
      <c r="H53" s="10">
        <v>3</v>
      </c>
      <c r="I53" s="10" t="s">
        <v>1055</v>
      </c>
      <c r="J53" s="10" t="s">
        <v>1159</v>
      </c>
      <c r="K53" s="10"/>
      <c r="L53" s="10" t="s">
        <v>1148</v>
      </c>
      <c r="M53" s="11">
        <v>46315</v>
      </c>
      <c r="N53" s="25" t="s">
        <v>61</v>
      </c>
      <c r="O53" s="10" t="s">
        <v>76</v>
      </c>
      <c r="P53" s="9" t="str">
        <f t="shared" si="5"/>
        <v>已评分</v>
      </c>
      <c r="Q53" s="24">
        <f t="shared" si="0"/>
        <v>2</v>
      </c>
      <c r="R53" s="24">
        <f t="shared" si="1"/>
        <v>0.8</v>
      </c>
      <c r="S53" s="26">
        <f t="shared" si="2"/>
        <v>1</v>
      </c>
      <c r="T53" s="9" t="str">
        <f t="shared" si="3"/>
        <v>高：关键基础补齐</v>
      </c>
      <c r="U53" s="10" t="s">
        <v>1149</v>
      </c>
      <c r="V53" s="11">
        <v>46315</v>
      </c>
      <c r="W53" s="9" t="str">
        <f t="shared" si="4"/>
        <v>已明确</v>
      </c>
      <c r="X53" s="2" t="s">
        <v>1160</v>
      </c>
    </row>
    <row r="54" ht="152" customHeight="1" spans="1:24">
      <c r="A54" s="3" t="s">
        <v>631</v>
      </c>
      <c r="B54" s="3" t="s">
        <v>70</v>
      </c>
      <c r="C54" s="3" t="s">
        <v>632</v>
      </c>
      <c r="D54" s="24">
        <f>VLOOKUP(B54,'01 参数'!$A$14:$B$23,2,FALSE)/COUNTIF($B$6:$B$89,B54)</f>
        <v>2</v>
      </c>
      <c r="E54" s="3" t="s">
        <v>111</v>
      </c>
      <c r="F54" s="10" t="s">
        <v>1054</v>
      </c>
      <c r="G54" s="10">
        <v>2</v>
      </c>
      <c r="H54" s="10">
        <v>3</v>
      </c>
      <c r="I54" s="10" t="s">
        <v>1055</v>
      </c>
      <c r="J54" s="10" t="s">
        <v>1161</v>
      </c>
      <c r="K54" s="10"/>
      <c r="L54" s="10" t="s">
        <v>1148</v>
      </c>
      <c r="M54" s="11">
        <v>46315</v>
      </c>
      <c r="N54" s="25" t="s">
        <v>61</v>
      </c>
      <c r="O54" s="10" t="s">
        <v>76</v>
      </c>
      <c r="P54" s="9" t="str">
        <f t="shared" si="5"/>
        <v>已评分</v>
      </c>
      <c r="Q54" s="24">
        <f t="shared" si="0"/>
        <v>2</v>
      </c>
      <c r="R54" s="24">
        <f t="shared" si="1"/>
        <v>0.8</v>
      </c>
      <c r="S54" s="26">
        <f t="shared" si="2"/>
        <v>1</v>
      </c>
      <c r="T54" s="9" t="str">
        <f t="shared" si="3"/>
        <v>高：关键基础补齐</v>
      </c>
      <c r="U54" s="10" t="s">
        <v>1149</v>
      </c>
      <c r="V54" s="11">
        <v>46315</v>
      </c>
      <c r="W54" s="9" t="str">
        <f t="shared" si="4"/>
        <v>已明确</v>
      </c>
      <c r="X54" s="2" t="s">
        <v>1162</v>
      </c>
    </row>
    <row r="55" ht="152" customHeight="1" spans="1:24">
      <c r="A55" s="3" t="s">
        <v>642</v>
      </c>
      <c r="B55" s="3" t="s">
        <v>70</v>
      </c>
      <c r="C55" s="3" t="s">
        <v>643</v>
      </c>
      <c r="D55" s="24">
        <f>VLOOKUP(B55,'01 参数'!$A$14:$B$23,2,FALSE)/COUNTIF($B$6:$B$89,B55)</f>
        <v>2</v>
      </c>
      <c r="E55" s="3" t="s">
        <v>111</v>
      </c>
      <c r="F55" s="10" t="s">
        <v>1054</v>
      </c>
      <c r="G55" s="10">
        <v>0</v>
      </c>
      <c r="H55" s="10">
        <v>3</v>
      </c>
      <c r="I55" s="10" t="s">
        <v>1055</v>
      </c>
      <c r="J55" s="10" t="s">
        <v>1163</v>
      </c>
      <c r="K55" s="10"/>
      <c r="L55" s="10" t="s">
        <v>1148</v>
      </c>
      <c r="M55" s="11">
        <v>46315</v>
      </c>
      <c r="N55" s="25" t="s">
        <v>61</v>
      </c>
      <c r="O55" s="10" t="s">
        <v>76</v>
      </c>
      <c r="P55" s="9" t="str">
        <f t="shared" si="5"/>
        <v>已评分</v>
      </c>
      <c r="Q55" s="24">
        <f t="shared" si="0"/>
        <v>2</v>
      </c>
      <c r="R55" s="24">
        <f t="shared" si="1"/>
        <v>0</v>
      </c>
      <c r="S55" s="26">
        <f t="shared" si="2"/>
        <v>3</v>
      </c>
      <c r="T55" s="9" t="str">
        <f t="shared" si="3"/>
        <v>高：关键基础补齐</v>
      </c>
      <c r="U55" s="10" t="s">
        <v>1149</v>
      </c>
      <c r="V55" s="11">
        <v>46315</v>
      </c>
      <c r="W55" s="9" t="str">
        <f t="shared" si="4"/>
        <v>已明确</v>
      </c>
      <c r="X55" s="2" t="s">
        <v>1164</v>
      </c>
    </row>
    <row r="56" ht="152" customHeight="1" spans="1:24">
      <c r="A56" s="3" t="s">
        <v>653</v>
      </c>
      <c r="B56" s="3" t="s">
        <v>70</v>
      </c>
      <c r="C56" s="3" t="s">
        <v>654</v>
      </c>
      <c r="D56" s="24">
        <f>VLOOKUP(B56,'01 参数'!$A$14:$B$23,2,FALSE)/COUNTIF($B$6:$B$89,B56)</f>
        <v>2</v>
      </c>
      <c r="E56" s="3" t="s">
        <v>145</v>
      </c>
      <c r="F56" s="10" t="s">
        <v>1054</v>
      </c>
      <c r="G56" s="10">
        <v>2</v>
      </c>
      <c r="H56" s="10">
        <v>3</v>
      </c>
      <c r="I56" s="10" t="s">
        <v>1055</v>
      </c>
      <c r="J56" s="10" t="s">
        <v>1165</v>
      </c>
      <c r="K56" s="10"/>
      <c r="L56" s="10" t="s">
        <v>1148</v>
      </c>
      <c r="M56" s="11">
        <v>46315</v>
      </c>
      <c r="N56" s="25" t="s">
        <v>61</v>
      </c>
      <c r="O56" s="10" t="s">
        <v>76</v>
      </c>
      <c r="P56" s="9" t="str">
        <f t="shared" si="5"/>
        <v>已评分</v>
      </c>
      <c r="Q56" s="24">
        <f t="shared" si="0"/>
        <v>2</v>
      </c>
      <c r="R56" s="24">
        <f t="shared" si="1"/>
        <v>0.8</v>
      </c>
      <c r="S56" s="26">
        <f t="shared" si="2"/>
        <v>1</v>
      </c>
      <c r="T56" s="9" t="str">
        <f t="shared" si="3"/>
        <v>高：业务改善</v>
      </c>
      <c r="U56" s="10" t="s">
        <v>1149</v>
      </c>
      <c r="V56" s="11">
        <v>46315</v>
      </c>
      <c r="W56" s="9" t="str">
        <f t="shared" si="4"/>
        <v>已明确</v>
      </c>
      <c r="X56" s="2" t="s">
        <v>1166</v>
      </c>
    </row>
    <row r="57" ht="152" customHeight="1" spans="1:24">
      <c r="A57" s="3" t="s">
        <v>664</v>
      </c>
      <c r="B57" s="3" t="s">
        <v>70</v>
      </c>
      <c r="C57" s="3" t="s">
        <v>665</v>
      </c>
      <c r="D57" s="24">
        <f>VLOOKUP(B57,'01 参数'!$A$14:$B$23,2,FALSE)/COUNTIF($B$6:$B$89,B57)</f>
        <v>2</v>
      </c>
      <c r="E57" s="3" t="s">
        <v>145</v>
      </c>
      <c r="F57" s="10" t="s">
        <v>1054</v>
      </c>
      <c r="G57" s="10">
        <v>2</v>
      </c>
      <c r="H57" s="10">
        <v>3</v>
      </c>
      <c r="I57" s="10" t="s">
        <v>1055</v>
      </c>
      <c r="J57" s="10" t="s">
        <v>1167</v>
      </c>
      <c r="K57" s="10"/>
      <c r="L57" s="10" t="s">
        <v>1148</v>
      </c>
      <c r="M57" s="11">
        <v>46315</v>
      </c>
      <c r="N57" s="25" t="s">
        <v>61</v>
      </c>
      <c r="O57" s="10" t="s">
        <v>76</v>
      </c>
      <c r="P57" s="9" t="str">
        <f t="shared" si="5"/>
        <v>已评分</v>
      </c>
      <c r="Q57" s="24">
        <f t="shared" si="0"/>
        <v>2</v>
      </c>
      <c r="R57" s="24">
        <f t="shared" si="1"/>
        <v>0.8</v>
      </c>
      <c r="S57" s="26">
        <f t="shared" si="2"/>
        <v>1</v>
      </c>
      <c r="T57" s="9" t="str">
        <f t="shared" si="3"/>
        <v>高：业务改善</v>
      </c>
      <c r="U57" s="10" t="s">
        <v>1149</v>
      </c>
      <c r="V57" s="11">
        <v>46315</v>
      </c>
      <c r="W57" s="9" t="str">
        <f t="shared" si="4"/>
        <v>已明确</v>
      </c>
      <c r="X57" s="2" t="s">
        <v>1168</v>
      </c>
    </row>
    <row r="58" ht="152" customHeight="1" spans="1:24">
      <c r="A58" s="3" t="s">
        <v>675</v>
      </c>
      <c r="B58" s="3" t="s">
        <v>71</v>
      </c>
      <c r="C58" s="3" t="s">
        <v>676</v>
      </c>
      <c r="D58" s="24">
        <f>VLOOKUP(B58,'01 参数'!$A$14:$B$23,2,FALSE)/COUNTIF($B$6:$B$89,B58)</f>
        <v>0.75</v>
      </c>
      <c r="E58" s="3" t="s">
        <v>145</v>
      </c>
      <c r="F58" s="10" t="s">
        <v>1054</v>
      </c>
      <c r="G58" s="10">
        <v>2</v>
      </c>
      <c r="H58" s="10">
        <v>3</v>
      </c>
      <c r="I58" s="10" t="s">
        <v>1066</v>
      </c>
      <c r="J58" s="10" t="s">
        <v>1169</v>
      </c>
      <c r="K58" s="10"/>
      <c r="L58" s="10" t="s">
        <v>1057</v>
      </c>
      <c r="M58" s="11">
        <v>46310</v>
      </c>
      <c r="N58" s="25" t="s">
        <v>61</v>
      </c>
      <c r="O58" s="10" t="s">
        <v>76</v>
      </c>
      <c r="P58" s="9" t="str">
        <f t="shared" si="5"/>
        <v>已评分</v>
      </c>
      <c r="Q58" s="24">
        <f t="shared" si="0"/>
        <v>0.75</v>
      </c>
      <c r="R58" s="24">
        <f t="shared" si="1"/>
        <v>0.3</v>
      </c>
      <c r="S58" s="26">
        <f t="shared" si="2"/>
        <v>1</v>
      </c>
      <c r="T58" s="9" t="str">
        <f t="shared" si="3"/>
        <v>低：持续改善</v>
      </c>
      <c r="U58" s="10" t="s">
        <v>1058</v>
      </c>
      <c r="V58" s="11">
        <v>46315</v>
      </c>
      <c r="W58" s="9" t="str">
        <f t="shared" si="4"/>
        <v>已明确</v>
      </c>
      <c r="X58" s="2" t="s">
        <v>1170</v>
      </c>
    </row>
    <row r="59" ht="152" customHeight="1" spans="1:24">
      <c r="A59" s="3" t="s">
        <v>687</v>
      </c>
      <c r="B59" s="3" t="s">
        <v>71</v>
      </c>
      <c r="C59" s="3" t="s">
        <v>688</v>
      </c>
      <c r="D59" s="24">
        <f>VLOOKUP(B59,'01 参数'!$A$14:$B$23,2,FALSE)/COUNTIF($B$6:$B$89,B59)</f>
        <v>0.75</v>
      </c>
      <c r="E59" s="3" t="s">
        <v>145</v>
      </c>
      <c r="F59" s="10" t="s">
        <v>1054</v>
      </c>
      <c r="G59" s="10">
        <v>1</v>
      </c>
      <c r="H59" s="10">
        <v>3</v>
      </c>
      <c r="I59" s="10" t="s">
        <v>1090</v>
      </c>
      <c r="J59" s="10" t="s">
        <v>1171</v>
      </c>
      <c r="K59" s="10"/>
      <c r="L59" s="10" t="s">
        <v>1057</v>
      </c>
      <c r="M59" s="11">
        <v>46310</v>
      </c>
      <c r="N59" s="25" t="s">
        <v>61</v>
      </c>
      <c r="O59" s="10" t="s">
        <v>76</v>
      </c>
      <c r="P59" s="9" t="str">
        <f t="shared" si="5"/>
        <v>已评分</v>
      </c>
      <c r="Q59" s="24">
        <f t="shared" si="0"/>
        <v>0.75</v>
      </c>
      <c r="R59" s="24">
        <f t="shared" si="1"/>
        <v>0.15</v>
      </c>
      <c r="S59" s="26">
        <f t="shared" si="2"/>
        <v>2</v>
      </c>
      <c r="T59" s="9" t="str">
        <f t="shared" si="3"/>
        <v>中：能力提升</v>
      </c>
      <c r="U59" s="10" t="s">
        <v>1058</v>
      </c>
      <c r="V59" s="11">
        <v>46315</v>
      </c>
      <c r="W59" s="9" t="str">
        <f t="shared" si="4"/>
        <v>已明确</v>
      </c>
      <c r="X59" s="2" t="s">
        <v>1172</v>
      </c>
    </row>
    <row r="60" ht="152" customHeight="1" spans="1:24">
      <c r="A60" s="3" t="s">
        <v>698</v>
      </c>
      <c r="B60" s="3" t="s">
        <v>71</v>
      </c>
      <c r="C60" s="3" t="s">
        <v>699</v>
      </c>
      <c r="D60" s="24">
        <f>VLOOKUP(B60,'01 参数'!$A$14:$B$23,2,FALSE)/COUNTIF($B$6:$B$89,B60)</f>
        <v>0.75</v>
      </c>
      <c r="E60" s="3" t="s">
        <v>145</v>
      </c>
      <c r="F60" s="10" t="s">
        <v>1054</v>
      </c>
      <c r="G60" s="10">
        <v>1</v>
      </c>
      <c r="H60" s="10">
        <v>3</v>
      </c>
      <c r="I60" s="10" t="s">
        <v>1066</v>
      </c>
      <c r="J60" s="10" t="s">
        <v>1173</v>
      </c>
      <c r="K60" s="10"/>
      <c r="L60" s="10" t="s">
        <v>1061</v>
      </c>
      <c r="M60" s="11">
        <v>46310</v>
      </c>
      <c r="N60" s="25" t="s">
        <v>61</v>
      </c>
      <c r="O60" s="10" t="s">
        <v>76</v>
      </c>
      <c r="P60" s="9" t="str">
        <f t="shared" si="5"/>
        <v>已评分</v>
      </c>
      <c r="Q60" s="24">
        <f t="shared" si="0"/>
        <v>0.75</v>
      </c>
      <c r="R60" s="24">
        <f t="shared" si="1"/>
        <v>0.15</v>
      </c>
      <c r="S60" s="26">
        <f t="shared" si="2"/>
        <v>2</v>
      </c>
      <c r="T60" s="9" t="str">
        <f t="shared" si="3"/>
        <v>中：能力提升</v>
      </c>
      <c r="U60" s="10" t="s">
        <v>1062</v>
      </c>
      <c r="V60" s="11">
        <v>46315</v>
      </c>
      <c r="W60" s="9" t="str">
        <f t="shared" si="4"/>
        <v>已明确</v>
      </c>
      <c r="X60" s="2" t="s">
        <v>1174</v>
      </c>
    </row>
    <row r="61" ht="152" customHeight="1" spans="1:24">
      <c r="A61" s="3" t="s">
        <v>709</v>
      </c>
      <c r="B61" s="3" t="s">
        <v>71</v>
      </c>
      <c r="C61" s="3" t="s">
        <v>710</v>
      </c>
      <c r="D61" s="24">
        <f>VLOOKUP(B61,'01 参数'!$A$14:$B$23,2,FALSE)/COUNTIF($B$6:$B$89,B61)</f>
        <v>0.75</v>
      </c>
      <c r="E61" s="3" t="s">
        <v>145</v>
      </c>
      <c r="F61" s="10" t="s">
        <v>1054</v>
      </c>
      <c r="G61" s="10">
        <v>2</v>
      </c>
      <c r="H61" s="10">
        <v>3</v>
      </c>
      <c r="I61" s="10" t="s">
        <v>1090</v>
      </c>
      <c r="J61" s="10" t="s">
        <v>1175</v>
      </c>
      <c r="K61" s="10"/>
      <c r="L61" s="10" t="s">
        <v>1057</v>
      </c>
      <c r="M61" s="11">
        <v>46310</v>
      </c>
      <c r="N61" s="25" t="s">
        <v>61</v>
      </c>
      <c r="O61" s="10" t="s">
        <v>76</v>
      </c>
      <c r="P61" s="9" t="str">
        <f t="shared" si="5"/>
        <v>已评分</v>
      </c>
      <c r="Q61" s="24">
        <f t="shared" si="0"/>
        <v>0.75</v>
      </c>
      <c r="R61" s="24">
        <f t="shared" si="1"/>
        <v>0.3</v>
      </c>
      <c r="S61" s="26">
        <f t="shared" si="2"/>
        <v>1</v>
      </c>
      <c r="T61" s="9" t="str">
        <f t="shared" si="3"/>
        <v>低：持续改善</v>
      </c>
      <c r="U61" s="10" t="s">
        <v>1058</v>
      </c>
      <c r="V61" s="11">
        <v>46315</v>
      </c>
      <c r="W61" s="9" t="str">
        <f t="shared" si="4"/>
        <v>已明确</v>
      </c>
      <c r="X61" s="2" t="s">
        <v>1176</v>
      </c>
    </row>
    <row r="62" ht="152" customHeight="1" spans="1:24">
      <c r="A62" s="3" t="s">
        <v>720</v>
      </c>
      <c r="B62" s="3" t="s">
        <v>71</v>
      </c>
      <c r="C62" s="3" t="s">
        <v>721</v>
      </c>
      <c r="D62" s="24">
        <f>VLOOKUP(B62,'01 参数'!$A$14:$B$23,2,FALSE)/COUNTIF($B$6:$B$89,B62)</f>
        <v>0.75</v>
      </c>
      <c r="E62" s="3" t="s">
        <v>145</v>
      </c>
      <c r="F62" s="10" t="s">
        <v>1054</v>
      </c>
      <c r="G62" s="10">
        <v>1</v>
      </c>
      <c r="H62" s="10">
        <v>3</v>
      </c>
      <c r="I62" s="10" t="s">
        <v>1066</v>
      </c>
      <c r="J62" s="10" t="s">
        <v>1177</v>
      </c>
      <c r="K62" s="10"/>
      <c r="L62" s="10" t="s">
        <v>1061</v>
      </c>
      <c r="M62" s="11">
        <v>46310</v>
      </c>
      <c r="N62" s="25" t="s">
        <v>61</v>
      </c>
      <c r="O62" s="10" t="s">
        <v>76</v>
      </c>
      <c r="P62" s="9" t="str">
        <f t="shared" si="5"/>
        <v>已评分</v>
      </c>
      <c r="Q62" s="24">
        <f t="shared" si="0"/>
        <v>0.75</v>
      </c>
      <c r="R62" s="24">
        <f t="shared" si="1"/>
        <v>0.15</v>
      </c>
      <c r="S62" s="26">
        <f t="shared" si="2"/>
        <v>2</v>
      </c>
      <c r="T62" s="9" t="str">
        <f t="shared" si="3"/>
        <v>中：能力提升</v>
      </c>
      <c r="U62" s="10" t="s">
        <v>1062</v>
      </c>
      <c r="V62" s="11">
        <v>46315</v>
      </c>
      <c r="W62" s="9" t="str">
        <f t="shared" si="4"/>
        <v>已明确</v>
      </c>
      <c r="X62" s="2" t="s">
        <v>1178</v>
      </c>
    </row>
    <row r="63" ht="152" customHeight="1" spans="1:24">
      <c r="A63" s="3" t="s">
        <v>731</v>
      </c>
      <c r="B63" s="3" t="s">
        <v>71</v>
      </c>
      <c r="C63" s="3" t="s">
        <v>732</v>
      </c>
      <c r="D63" s="24">
        <f>VLOOKUP(B63,'01 参数'!$A$14:$B$23,2,FALSE)/COUNTIF($B$6:$B$89,B63)</f>
        <v>0.75</v>
      </c>
      <c r="E63" s="3" t="s">
        <v>145</v>
      </c>
      <c r="F63" s="10" t="s">
        <v>1054</v>
      </c>
      <c r="G63" s="10">
        <v>1</v>
      </c>
      <c r="H63" s="10">
        <v>3</v>
      </c>
      <c r="I63" s="10" t="s">
        <v>1066</v>
      </c>
      <c r="J63" s="10" t="s">
        <v>1179</v>
      </c>
      <c r="K63" s="10"/>
      <c r="L63" s="10" t="s">
        <v>1057</v>
      </c>
      <c r="M63" s="11">
        <v>46310</v>
      </c>
      <c r="N63" s="25" t="s">
        <v>61</v>
      </c>
      <c r="O63" s="10" t="s">
        <v>76</v>
      </c>
      <c r="P63" s="9" t="str">
        <f t="shared" si="5"/>
        <v>已评分</v>
      </c>
      <c r="Q63" s="24">
        <f t="shared" si="0"/>
        <v>0.75</v>
      </c>
      <c r="R63" s="24">
        <f t="shared" si="1"/>
        <v>0.15</v>
      </c>
      <c r="S63" s="26">
        <f t="shared" si="2"/>
        <v>2</v>
      </c>
      <c r="T63" s="9" t="str">
        <f t="shared" si="3"/>
        <v>中：能力提升</v>
      </c>
      <c r="U63" s="10" t="s">
        <v>1058</v>
      </c>
      <c r="V63" s="11">
        <v>46315</v>
      </c>
      <c r="W63" s="9" t="str">
        <f t="shared" si="4"/>
        <v>已明确</v>
      </c>
      <c r="X63" s="2" t="s">
        <v>1180</v>
      </c>
    </row>
    <row r="64" ht="152" customHeight="1" spans="1:24">
      <c r="A64" s="3" t="s">
        <v>742</v>
      </c>
      <c r="B64" s="3" t="s">
        <v>71</v>
      </c>
      <c r="C64" s="3" t="s">
        <v>743</v>
      </c>
      <c r="D64" s="24">
        <f>VLOOKUP(B64,'01 参数'!$A$14:$B$23,2,FALSE)/COUNTIF($B$6:$B$89,B64)</f>
        <v>0.75</v>
      </c>
      <c r="E64" s="3" t="s">
        <v>145</v>
      </c>
      <c r="F64" s="10" t="s">
        <v>1054</v>
      </c>
      <c r="G64" s="10">
        <v>1</v>
      </c>
      <c r="H64" s="10">
        <v>3</v>
      </c>
      <c r="I64" s="10" t="s">
        <v>1066</v>
      </c>
      <c r="J64" s="10" t="s">
        <v>1181</v>
      </c>
      <c r="K64" s="10"/>
      <c r="L64" s="10" t="s">
        <v>1057</v>
      </c>
      <c r="M64" s="11">
        <v>46310</v>
      </c>
      <c r="N64" s="25" t="s">
        <v>61</v>
      </c>
      <c r="O64" s="10" t="s">
        <v>76</v>
      </c>
      <c r="P64" s="9" t="str">
        <f t="shared" si="5"/>
        <v>已评分</v>
      </c>
      <c r="Q64" s="24">
        <f t="shared" si="0"/>
        <v>0.75</v>
      </c>
      <c r="R64" s="24">
        <f t="shared" si="1"/>
        <v>0.15</v>
      </c>
      <c r="S64" s="26">
        <f t="shared" si="2"/>
        <v>2</v>
      </c>
      <c r="T64" s="9" t="str">
        <f t="shared" si="3"/>
        <v>中：能力提升</v>
      </c>
      <c r="U64" s="10" t="s">
        <v>1058</v>
      </c>
      <c r="V64" s="11">
        <v>46315</v>
      </c>
      <c r="W64" s="9" t="str">
        <f t="shared" si="4"/>
        <v>已明确</v>
      </c>
      <c r="X64" s="2" t="s">
        <v>1182</v>
      </c>
    </row>
    <row r="65" ht="152" customHeight="1" spans="1:24">
      <c r="A65" s="3" t="s">
        <v>753</v>
      </c>
      <c r="B65" s="3" t="s">
        <v>71</v>
      </c>
      <c r="C65" s="3" t="s">
        <v>754</v>
      </c>
      <c r="D65" s="24">
        <f>VLOOKUP(B65,'01 参数'!$A$14:$B$23,2,FALSE)/COUNTIF($B$6:$B$89,B65)</f>
        <v>0.75</v>
      </c>
      <c r="E65" s="3" t="s">
        <v>145</v>
      </c>
      <c r="F65" s="10" t="s">
        <v>1054</v>
      </c>
      <c r="G65" s="10">
        <v>1</v>
      </c>
      <c r="H65" s="10">
        <v>3</v>
      </c>
      <c r="I65" s="10" t="s">
        <v>1066</v>
      </c>
      <c r="J65" s="10" t="s">
        <v>1183</v>
      </c>
      <c r="K65" s="10"/>
      <c r="L65" s="10" t="s">
        <v>1057</v>
      </c>
      <c r="M65" s="11">
        <v>46310</v>
      </c>
      <c r="N65" s="25" t="s">
        <v>61</v>
      </c>
      <c r="O65" s="10" t="s">
        <v>76</v>
      </c>
      <c r="P65" s="9" t="str">
        <f t="shared" si="5"/>
        <v>已评分</v>
      </c>
      <c r="Q65" s="24">
        <f t="shared" si="0"/>
        <v>0.75</v>
      </c>
      <c r="R65" s="24">
        <f t="shared" si="1"/>
        <v>0.15</v>
      </c>
      <c r="S65" s="26">
        <f t="shared" si="2"/>
        <v>2</v>
      </c>
      <c r="T65" s="9" t="str">
        <f t="shared" si="3"/>
        <v>中：能力提升</v>
      </c>
      <c r="U65" s="10" t="s">
        <v>1058</v>
      </c>
      <c r="V65" s="11">
        <v>46315</v>
      </c>
      <c r="W65" s="9" t="str">
        <f t="shared" si="4"/>
        <v>已明确</v>
      </c>
      <c r="X65" s="2" t="s">
        <v>1184</v>
      </c>
    </row>
    <row r="66" ht="152" customHeight="1" spans="1:24">
      <c r="A66" s="3" t="s">
        <v>764</v>
      </c>
      <c r="B66" s="3" t="s">
        <v>72</v>
      </c>
      <c r="C66" s="3" t="s">
        <v>765</v>
      </c>
      <c r="D66" s="24">
        <f>VLOOKUP(B66,'01 参数'!$A$14:$B$23,2,FALSE)/COUNTIF($B$6:$B$89,B66)</f>
        <v>1</v>
      </c>
      <c r="E66" s="3" t="s">
        <v>145</v>
      </c>
      <c r="F66" s="10" t="s">
        <v>1054</v>
      </c>
      <c r="G66" s="10">
        <v>2</v>
      </c>
      <c r="H66" s="10">
        <v>2</v>
      </c>
      <c r="I66" s="10" t="s">
        <v>1055</v>
      </c>
      <c r="J66" s="10" t="s">
        <v>1185</v>
      </c>
      <c r="K66" s="10"/>
      <c r="L66" s="10" t="s">
        <v>1057</v>
      </c>
      <c r="M66" s="11">
        <v>46310</v>
      </c>
      <c r="N66" s="25" t="s">
        <v>61</v>
      </c>
      <c r="O66" s="10" t="s">
        <v>76</v>
      </c>
      <c r="P66" s="9" t="str">
        <f t="shared" si="5"/>
        <v>已评分</v>
      </c>
      <c r="Q66" s="24">
        <f t="shared" si="0"/>
        <v>1</v>
      </c>
      <c r="R66" s="24">
        <f t="shared" si="1"/>
        <v>0.4</v>
      </c>
      <c r="S66" s="26">
        <f t="shared" si="2"/>
        <v>0</v>
      </c>
      <c r="T66" s="9" t="str">
        <f t="shared" si="3"/>
        <v>保持/持续验证</v>
      </c>
      <c r="U66" s="10" t="s">
        <v>1058</v>
      </c>
      <c r="V66" s="11">
        <v>46315</v>
      </c>
      <c r="W66" s="9" t="str">
        <f t="shared" si="4"/>
        <v>已明确</v>
      </c>
      <c r="X66" s="2" t="s">
        <v>1186</v>
      </c>
    </row>
    <row r="67" ht="152" customHeight="1" spans="1:24">
      <c r="A67" s="3" t="s">
        <v>776</v>
      </c>
      <c r="B67" s="3" t="s">
        <v>72</v>
      </c>
      <c r="C67" s="3" t="s">
        <v>777</v>
      </c>
      <c r="D67" s="24">
        <f>VLOOKUP(B67,'01 参数'!$A$14:$B$23,2,FALSE)/COUNTIF($B$6:$B$89,B67)</f>
        <v>1</v>
      </c>
      <c r="E67" s="3" t="s">
        <v>111</v>
      </c>
      <c r="F67" s="10" t="s">
        <v>1054</v>
      </c>
      <c r="G67" s="10">
        <v>2</v>
      </c>
      <c r="H67" s="10">
        <v>3</v>
      </c>
      <c r="I67" s="10" t="s">
        <v>1055</v>
      </c>
      <c r="J67" s="10" t="s">
        <v>1187</v>
      </c>
      <c r="K67" s="10"/>
      <c r="L67" s="10" t="s">
        <v>1057</v>
      </c>
      <c r="M67" s="11">
        <v>46310</v>
      </c>
      <c r="N67" s="25" t="s">
        <v>61</v>
      </c>
      <c r="O67" s="10" t="s">
        <v>76</v>
      </c>
      <c r="P67" s="9" t="str">
        <f t="shared" si="5"/>
        <v>已评分</v>
      </c>
      <c r="Q67" s="24">
        <f t="shared" si="0"/>
        <v>1</v>
      </c>
      <c r="R67" s="24">
        <f t="shared" si="1"/>
        <v>0.4</v>
      </c>
      <c r="S67" s="26">
        <f t="shared" si="2"/>
        <v>1</v>
      </c>
      <c r="T67" s="9" t="str">
        <f t="shared" si="3"/>
        <v>高：关键基础补齐</v>
      </c>
      <c r="U67" s="10" t="s">
        <v>1058</v>
      </c>
      <c r="V67" s="11">
        <v>46315</v>
      </c>
      <c r="W67" s="9" t="str">
        <f t="shared" si="4"/>
        <v>已明确</v>
      </c>
      <c r="X67" s="2" t="s">
        <v>1188</v>
      </c>
    </row>
    <row r="68" ht="152" customHeight="1" spans="1:24">
      <c r="A68" s="3" t="s">
        <v>787</v>
      </c>
      <c r="B68" s="3" t="s">
        <v>72</v>
      </c>
      <c r="C68" s="3" t="s">
        <v>788</v>
      </c>
      <c r="D68" s="24">
        <f>VLOOKUP(B68,'01 参数'!$A$14:$B$23,2,FALSE)/COUNTIF($B$6:$B$89,B68)</f>
        <v>1</v>
      </c>
      <c r="E68" s="3" t="s">
        <v>145</v>
      </c>
      <c r="F68" s="10" t="s">
        <v>1054</v>
      </c>
      <c r="G68" s="10">
        <v>0</v>
      </c>
      <c r="H68" s="10">
        <v>3</v>
      </c>
      <c r="I68" s="10" t="s">
        <v>1055</v>
      </c>
      <c r="J68" s="10" t="s">
        <v>1189</v>
      </c>
      <c r="K68" s="10"/>
      <c r="L68" s="10" t="s">
        <v>1061</v>
      </c>
      <c r="M68" s="11">
        <v>46310</v>
      </c>
      <c r="N68" s="25" t="s">
        <v>61</v>
      </c>
      <c r="O68" s="10" t="s">
        <v>76</v>
      </c>
      <c r="P68" s="9" t="str">
        <f t="shared" si="5"/>
        <v>已评分</v>
      </c>
      <c r="Q68" s="24">
        <f t="shared" si="0"/>
        <v>1</v>
      </c>
      <c r="R68" s="24">
        <f t="shared" si="1"/>
        <v>0</v>
      </c>
      <c r="S68" s="26">
        <f t="shared" si="2"/>
        <v>3</v>
      </c>
      <c r="T68" s="9" t="str">
        <f t="shared" si="3"/>
        <v>高：业务改善</v>
      </c>
      <c r="U68" s="10" t="s">
        <v>1062</v>
      </c>
      <c r="V68" s="11">
        <v>46315</v>
      </c>
      <c r="W68" s="9" t="str">
        <f t="shared" si="4"/>
        <v>已明确</v>
      </c>
      <c r="X68" s="2" t="s">
        <v>1190</v>
      </c>
    </row>
    <row r="69" ht="152" customHeight="1" spans="1:24">
      <c r="A69" s="3" t="s">
        <v>798</v>
      </c>
      <c r="B69" s="3" t="s">
        <v>72</v>
      </c>
      <c r="C69" s="3" t="s">
        <v>799</v>
      </c>
      <c r="D69" s="24">
        <f>VLOOKUP(B69,'01 参数'!$A$14:$B$23,2,FALSE)/COUNTIF($B$6:$B$89,B69)</f>
        <v>1</v>
      </c>
      <c r="E69" s="3" t="s">
        <v>111</v>
      </c>
      <c r="F69" s="10" t="s">
        <v>1054</v>
      </c>
      <c r="G69" s="10">
        <v>1</v>
      </c>
      <c r="H69" s="10">
        <v>3</v>
      </c>
      <c r="I69" s="10" t="s">
        <v>1055</v>
      </c>
      <c r="J69" s="10" t="s">
        <v>1191</v>
      </c>
      <c r="K69" s="10"/>
      <c r="L69" s="10" t="s">
        <v>1057</v>
      </c>
      <c r="M69" s="11">
        <v>46310</v>
      </c>
      <c r="N69" s="25" t="s">
        <v>61</v>
      </c>
      <c r="O69" s="10" t="s">
        <v>76</v>
      </c>
      <c r="P69" s="9" t="str">
        <f t="shared" si="5"/>
        <v>已评分</v>
      </c>
      <c r="Q69" s="24">
        <f t="shared" si="0"/>
        <v>1</v>
      </c>
      <c r="R69" s="24">
        <f t="shared" si="1"/>
        <v>0.2</v>
      </c>
      <c r="S69" s="26">
        <f t="shared" si="2"/>
        <v>2</v>
      </c>
      <c r="T69" s="9" t="str">
        <f t="shared" si="3"/>
        <v>高：关键基础补齐</v>
      </c>
      <c r="U69" s="10" t="s">
        <v>1058</v>
      </c>
      <c r="V69" s="11">
        <v>46315</v>
      </c>
      <c r="W69" s="9" t="str">
        <f t="shared" si="4"/>
        <v>已明确</v>
      </c>
      <c r="X69" s="2" t="s">
        <v>1192</v>
      </c>
    </row>
    <row r="70" ht="152" customHeight="1" spans="1:24">
      <c r="A70" s="3" t="s">
        <v>809</v>
      </c>
      <c r="B70" s="3" t="s">
        <v>72</v>
      </c>
      <c r="C70" s="3" t="s">
        <v>810</v>
      </c>
      <c r="D70" s="24">
        <f>VLOOKUP(B70,'01 参数'!$A$14:$B$23,2,FALSE)/COUNTIF($B$6:$B$89,B70)</f>
        <v>1</v>
      </c>
      <c r="E70" s="3" t="s">
        <v>145</v>
      </c>
      <c r="F70" s="10" t="s">
        <v>1054</v>
      </c>
      <c r="G70" s="10">
        <v>1</v>
      </c>
      <c r="H70" s="10">
        <v>4</v>
      </c>
      <c r="I70" s="10" t="s">
        <v>1055</v>
      </c>
      <c r="J70" s="10" t="s">
        <v>1193</v>
      </c>
      <c r="K70" s="10"/>
      <c r="L70" s="10" t="s">
        <v>1057</v>
      </c>
      <c r="M70" s="11">
        <v>46310</v>
      </c>
      <c r="N70" s="25" t="s">
        <v>61</v>
      </c>
      <c r="O70" s="10" t="s">
        <v>76</v>
      </c>
      <c r="P70" s="9" t="str">
        <f t="shared" ref="P70:P89" si="6">IF(O70="资料判定完成",IF(AND(F70="适用",AND(ISNUMBER(G70),G70&gt;=0,G70&lt;=5,MOD(IF(ISNUMBER(G70),G70,0),1)=0),J70&lt;&gt;"",X70&lt;&gt;"",L70&lt;&gt;"",ISNUMBER(M70),U70&lt;&gt;""),"资料已判定","资料待补齐"),IF(OR(O70="质量待访",O70="待补证"),"未赋分",IF(F70="不适用",IF(E70="是","关键基础不可排除",IF(AND(K70&lt;&gt;"",AND(L70&lt;&gt;"",ISNUMBER(M70),M70&gt;=DATE(2000,1,1),M70&lt;=DATE(9999,12,31),MOD(IF(ISNUMBER(M70),M70,0),1)=0,N70&lt;&gt;"",ISNUMBER(V70),V70&gt;=M70,V70&lt;=DATE(9999,12,31),MOD(IF(ISNUMBER(V70),V70,0),1)=0,O70="已确认")),"已排除","不适用待复核")),IF(F70&lt;&gt;"适用","适用性待确认",IF(NOT(AND(ISNUMBER(G70),G70&gt;=0,G70&lt;=5,MOD(IF(ISNUMBER(G70),G70,0),1)=0)),"待评分/修正分值",IF(J70="","待补事实证据",IF(U70="","待补样本覆盖",IF(AND(L70&lt;&gt;"",ISNUMBER(M70),M70&gt;=DATE(2000,1,1),M70&lt;=DATE(9999,12,31),MOD(IF(ISNUMBER(M70),M70,0),1)=0,N70&lt;&gt;"",ISNUMBER(V70),V70&gt;=M70,V70&lt;=DATE(9999,12,31),MOD(IF(ISNUMBER(V70),V70,0),1)=0,O70="已确认"),"已评分","待完成评估复核"))))))))</f>
        <v>已评分</v>
      </c>
      <c r="Q70" s="24">
        <f t="shared" ref="Q70:Q89" si="7">IF(OR(P70="已评分",P70="资料已判定"),D70,0)</f>
        <v>1</v>
      </c>
      <c r="R70" s="24">
        <f t="shared" ref="R70:R89" si="8">IF(OR(P70="已评分",P70="资料已判定"),D70*G70/5,0)</f>
        <v>0.2</v>
      </c>
      <c r="S70" s="26">
        <f t="shared" ref="S70:S89" si="9">IF(AND(OR(P70="已评分",P70="资料已判定"),ISNUMBER(H70),H70&gt;=0,H70&lt;=5,MOD(IF(ISNUMBER(H70),H70,0),1)=0),H70-G70,"")</f>
        <v>3</v>
      </c>
      <c r="T70" s="9" t="str">
        <f t="shared" ref="T70:T89" si="10">IF(P70="已排除","不适用",IF(NOT(OR(P70="已评分",P70="资料已判定")),"先补证/确认",IF(AND(E70="是",G70&lt;3),"高：关键基础补齐",IF(S70="","待设目标/评影响",IF(S70&lt;0,"复核：目标低于现状",IF(S70=0,"保持/持续验证",IF(I70="","待评业务影响",IF(I70="高","高：业务改善",IF(S70&gt;=2,"中：能力提升","低：持续改善")))))))))</f>
        <v>高：业务改善</v>
      </c>
      <c r="U70" s="10" t="s">
        <v>1058</v>
      </c>
      <c r="V70" s="11">
        <v>46315</v>
      </c>
      <c r="W70" s="9" t="str">
        <f t="shared" ref="W70:W89" si="11">IF(P70="已排除","不适用",IF(NOT(OR(P70="已评分",P70="资料已判定")),"待诊断",IF(S70="","待补有效目标",IF(S70&lt;0,"待复核目标",IF(AND(S70&gt;0,I70=""),"待评业务影响","已明确")))))</f>
        <v>已明确</v>
      </c>
      <c r="X70" s="2" t="s">
        <v>1194</v>
      </c>
    </row>
    <row r="71" ht="152" customHeight="1" spans="1:24">
      <c r="A71" s="3" t="s">
        <v>820</v>
      </c>
      <c r="B71" s="3" t="s">
        <v>72</v>
      </c>
      <c r="C71" s="3" t="s">
        <v>821</v>
      </c>
      <c r="D71" s="24">
        <f>VLOOKUP(B71,'01 参数'!$A$14:$B$23,2,FALSE)/COUNTIF($B$6:$B$89,B71)</f>
        <v>1</v>
      </c>
      <c r="E71" s="3" t="s">
        <v>145</v>
      </c>
      <c r="F71" s="10" t="s">
        <v>1075</v>
      </c>
      <c r="G71" s="10"/>
      <c r="H71" s="10"/>
      <c r="I71" s="10"/>
      <c r="J71" s="10" t="s">
        <v>1195</v>
      </c>
      <c r="K71" s="25" t="s">
        <v>1075</v>
      </c>
      <c r="L71" s="10" t="s">
        <v>1057</v>
      </c>
      <c r="M71" s="11">
        <v>46310</v>
      </c>
      <c r="N71" s="25" t="s">
        <v>61</v>
      </c>
      <c r="O71" s="10" t="s">
        <v>76</v>
      </c>
      <c r="P71" s="9" t="str">
        <f t="shared" si="6"/>
        <v>已排除</v>
      </c>
      <c r="Q71" s="24">
        <f t="shared" si="7"/>
        <v>0</v>
      </c>
      <c r="R71" s="24">
        <f t="shared" si="8"/>
        <v>0</v>
      </c>
      <c r="S71" s="26" t="str">
        <f t="shared" si="9"/>
        <v/>
      </c>
      <c r="T71" s="9" t="str">
        <f t="shared" si="10"/>
        <v>不适用</v>
      </c>
      <c r="U71" s="10" t="s">
        <v>1058</v>
      </c>
      <c r="V71" s="11">
        <v>46315</v>
      </c>
      <c r="W71" s="9" t="str">
        <f t="shared" si="11"/>
        <v>不适用</v>
      </c>
      <c r="X71" s="2" t="s">
        <v>1196</v>
      </c>
    </row>
    <row r="72" ht="152" customHeight="1" spans="1:24">
      <c r="A72" s="3" t="s">
        <v>831</v>
      </c>
      <c r="B72" s="3" t="s">
        <v>72</v>
      </c>
      <c r="C72" s="3" t="s">
        <v>832</v>
      </c>
      <c r="D72" s="24">
        <f>VLOOKUP(B72,'01 参数'!$A$14:$B$23,2,FALSE)/COUNTIF($B$6:$B$89,B72)</f>
        <v>1</v>
      </c>
      <c r="E72" s="3" t="s">
        <v>145</v>
      </c>
      <c r="F72" s="10" t="s">
        <v>1075</v>
      </c>
      <c r="G72" s="10">
        <v>2</v>
      </c>
      <c r="H72" s="10"/>
      <c r="I72" s="10"/>
      <c r="J72" s="10" t="s">
        <v>1197</v>
      </c>
      <c r="K72" s="25" t="s">
        <v>1075</v>
      </c>
      <c r="L72" s="10" t="s">
        <v>1061</v>
      </c>
      <c r="M72" s="11">
        <v>46310</v>
      </c>
      <c r="N72" s="25" t="s">
        <v>61</v>
      </c>
      <c r="O72" s="10" t="s">
        <v>76</v>
      </c>
      <c r="P72" s="9" t="str">
        <f t="shared" si="6"/>
        <v>已排除</v>
      </c>
      <c r="Q72" s="24">
        <f t="shared" si="7"/>
        <v>0</v>
      </c>
      <c r="R72" s="24">
        <f t="shared" si="8"/>
        <v>0</v>
      </c>
      <c r="S72" s="26" t="str">
        <f t="shared" si="9"/>
        <v/>
      </c>
      <c r="T72" s="9" t="str">
        <f t="shared" si="10"/>
        <v>不适用</v>
      </c>
      <c r="U72" s="10" t="s">
        <v>1062</v>
      </c>
      <c r="V72" s="11">
        <v>46315</v>
      </c>
      <c r="W72" s="9" t="str">
        <f t="shared" si="11"/>
        <v>不适用</v>
      </c>
      <c r="X72" s="2" t="s">
        <v>1198</v>
      </c>
    </row>
    <row r="73" ht="152" customHeight="1" spans="1:24">
      <c r="A73" s="3" t="s">
        <v>842</v>
      </c>
      <c r="B73" s="3" t="s">
        <v>72</v>
      </c>
      <c r="C73" s="3" t="s">
        <v>843</v>
      </c>
      <c r="D73" s="24">
        <f>VLOOKUP(B73,'01 参数'!$A$14:$B$23,2,FALSE)/COUNTIF($B$6:$B$89,B73)</f>
        <v>1</v>
      </c>
      <c r="E73" s="3" t="s">
        <v>145</v>
      </c>
      <c r="F73" s="10" t="s">
        <v>1075</v>
      </c>
      <c r="G73" s="10"/>
      <c r="H73" s="10"/>
      <c r="I73" s="10"/>
      <c r="J73" s="10" t="s">
        <v>1199</v>
      </c>
      <c r="K73" s="25" t="s">
        <v>1075</v>
      </c>
      <c r="L73" s="10" t="s">
        <v>1057</v>
      </c>
      <c r="M73" s="11">
        <v>46310</v>
      </c>
      <c r="N73" s="25" t="s">
        <v>61</v>
      </c>
      <c r="O73" s="10" t="s">
        <v>76</v>
      </c>
      <c r="P73" s="9" t="str">
        <f t="shared" si="6"/>
        <v>已排除</v>
      </c>
      <c r="Q73" s="24">
        <f t="shared" si="7"/>
        <v>0</v>
      </c>
      <c r="R73" s="24">
        <f t="shared" si="8"/>
        <v>0</v>
      </c>
      <c r="S73" s="26" t="str">
        <f t="shared" si="9"/>
        <v/>
      </c>
      <c r="T73" s="9" t="str">
        <f t="shared" si="10"/>
        <v>不适用</v>
      </c>
      <c r="U73" s="10" t="s">
        <v>1058</v>
      </c>
      <c r="V73" s="11">
        <v>46315</v>
      </c>
      <c r="W73" s="9" t="str">
        <f t="shared" si="11"/>
        <v>不适用</v>
      </c>
      <c r="X73" s="2" t="s">
        <v>1200</v>
      </c>
    </row>
    <row r="74" ht="152" customHeight="1" spans="1:24">
      <c r="A74" s="3" t="s">
        <v>853</v>
      </c>
      <c r="B74" s="3" t="s">
        <v>73</v>
      </c>
      <c r="C74" s="3" t="s">
        <v>854</v>
      </c>
      <c r="D74" s="24">
        <f>VLOOKUP(B74,'01 参数'!$A$14:$B$23,2,FALSE)/COUNTIF($B$6:$B$89,B74)</f>
        <v>1</v>
      </c>
      <c r="E74" s="3" t="s">
        <v>111</v>
      </c>
      <c r="F74" s="10" t="s">
        <v>1054</v>
      </c>
      <c r="G74" s="10">
        <v>1</v>
      </c>
      <c r="H74" s="10">
        <v>3</v>
      </c>
      <c r="I74" s="10" t="s">
        <v>1055</v>
      </c>
      <c r="J74" s="10" t="s">
        <v>1201</v>
      </c>
      <c r="K74" s="10"/>
      <c r="L74" s="10" t="s">
        <v>1061</v>
      </c>
      <c r="M74" s="11">
        <v>46310</v>
      </c>
      <c r="N74" s="25" t="s">
        <v>61</v>
      </c>
      <c r="O74" s="10" t="s">
        <v>76</v>
      </c>
      <c r="P74" s="9" t="str">
        <f t="shared" si="6"/>
        <v>已评分</v>
      </c>
      <c r="Q74" s="24">
        <f t="shared" si="7"/>
        <v>1</v>
      </c>
      <c r="R74" s="24">
        <f t="shared" si="8"/>
        <v>0.2</v>
      </c>
      <c r="S74" s="26">
        <f t="shared" si="9"/>
        <v>2</v>
      </c>
      <c r="T74" s="9" t="str">
        <f t="shared" si="10"/>
        <v>高：关键基础补齐</v>
      </c>
      <c r="U74" s="10" t="s">
        <v>1062</v>
      </c>
      <c r="V74" s="11">
        <v>46315</v>
      </c>
      <c r="W74" s="9" t="str">
        <f t="shared" si="11"/>
        <v>已明确</v>
      </c>
      <c r="X74" s="2" t="s">
        <v>1202</v>
      </c>
    </row>
    <row r="75" ht="152" customHeight="1" spans="1:24">
      <c r="A75" s="3" t="s">
        <v>865</v>
      </c>
      <c r="B75" s="3" t="s">
        <v>73</v>
      </c>
      <c r="C75" s="3" t="s">
        <v>866</v>
      </c>
      <c r="D75" s="24">
        <f>VLOOKUP(B75,'01 参数'!$A$14:$B$23,2,FALSE)/COUNTIF($B$6:$B$89,B75)</f>
        <v>1</v>
      </c>
      <c r="E75" s="3" t="s">
        <v>111</v>
      </c>
      <c r="F75" s="10" t="s">
        <v>1054</v>
      </c>
      <c r="G75" s="10">
        <v>1</v>
      </c>
      <c r="H75" s="10">
        <v>3</v>
      </c>
      <c r="I75" s="10" t="s">
        <v>1055</v>
      </c>
      <c r="J75" s="10" t="s">
        <v>1203</v>
      </c>
      <c r="K75" s="10"/>
      <c r="L75" s="10" t="s">
        <v>1061</v>
      </c>
      <c r="M75" s="11">
        <v>46310</v>
      </c>
      <c r="N75" s="25" t="s">
        <v>61</v>
      </c>
      <c r="O75" s="10" t="s">
        <v>76</v>
      </c>
      <c r="P75" s="9" t="str">
        <f t="shared" si="6"/>
        <v>已评分</v>
      </c>
      <c r="Q75" s="24">
        <f t="shared" si="7"/>
        <v>1</v>
      </c>
      <c r="R75" s="24">
        <f t="shared" si="8"/>
        <v>0.2</v>
      </c>
      <c r="S75" s="26">
        <f t="shared" si="9"/>
        <v>2</v>
      </c>
      <c r="T75" s="9" t="str">
        <f t="shared" si="10"/>
        <v>高：关键基础补齐</v>
      </c>
      <c r="U75" s="10" t="s">
        <v>1062</v>
      </c>
      <c r="V75" s="11">
        <v>46315</v>
      </c>
      <c r="W75" s="9" t="str">
        <f t="shared" si="11"/>
        <v>已明确</v>
      </c>
      <c r="X75" s="2" t="s">
        <v>1204</v>
      </c>
    </row>
    <row r="76" ht="152" customHeight="1" spans="1:24">
      <c r="A76" s="3" t="s">
        <v>876</v>
      </c>
      <c r="B76" s="3" t="s">
        <v>73</v>
      </c>
      <c r="C76" s="3" t="s">
        <v>877</v>
      </c>
      <c r="D76" s="24">
        <f>VLOOKUP(B76,'01 参数'!$A$14:$B$23,2,FALSE)/COUNTIF($B$6:$B$89,B76)</f>
        <v>1</v>
      </c>
      <c r="E76" s="3" t="s">
        <v>111</v>
      </c>
      <c r="F76" s="10" t="s">
        <v>1054</v>
      </c>
      <c r="G76" s="10">
        <v>1</v>
      </c>
      <c r="H76" s="10">
        <v>3</v>
      </c>
      <c r="I76" s="10" t="s">
        <v>1055</v>
      </c>
      <c r="J76" s="10" t="s">
        <v>1205</v>
      </c>
      <c r="K76" s="10"/>
      <c r="L76" s="10" t="s">
        <v>1057</v>
      </c>
      <c r="M76" s="11">
        <v>46310</v>
      </c>
      <c r="N76" s="25" t="s">
        <v>61</v>
      </c>
      <c r="O76" s="10" t="s">
        <v>76</v>
      </c>
      <c r="P76" s="9" t="str">
        <f t="shared" si="6"/>
        <v>已评分</v>
      </c>
      <c r="Q76" s="24">
        <f t="shared" si="7"/>
        <v>1</v>
      </c>
      <c r="R76" s="24">
        <f t="shared" si="8"/>
        <v>0.2</v>
      </c>
      <c r="S76" s="26">
        <f t="shared" si="9"/>
        <v>2</v>
      </c>
      <c r="T76" s="9" t="str">
        <f t="shared" si="10"/>
        <v>高：关键基础补齐</v>
      </c>
      <c r="U76" s="10" t="s">
        <v>1058</v>
      </c>
      <c r="V76" s="11">
        <v>46315</v>
      </c>
      <c r="W76" s="9" t="str">
        <f t="shared" si="11"/>
        <v>已明确</v>
      </c>
      <c r="X76" s="2" t="s">
        <v>1206</v>
      </c>
    </row>
    <row r="77" ht="152" customHeight="1" spans="1:24">
      <c r="A77" s="3" t="s">
        <v>887</v>
      </c>
      <c r="B77" s="3" t="s">
        <v>73</v>
      </c>
      <c r="C77" s="3" t="s">
        <v>888</v>
      </c>
      <c r="D77" s="24">
        <f>VLOOKUP(B77,'01 参数'!$A$14:$B$23,2,FALSE)/COUNTIF($B$6:$B$89,B77)</f>
        <v>1</v>
      </c>
      <c r="E77" s="3" t="s">
        <v>111</v>
      </c>
      <c r="F77" s="10" t="s">
        <v>1054</v>
      </c>
      <c r="G77" s="10">
        <v>0</v>
      </c>
      <c r="H77" s="10">
        <v>2</v>
      </c>
      <c r="I77" s="10" t="s">
        <v>1055</v>
      </c>
      <c r="J77" s="10" t="s">
        <v>1207</v>
      </c>
      <c r="K77" s="10"/>
      <c r="L77" s="10" t="s">
        <v>1057</v>
      </c>
      <c r="M77" s="11">
        <v>46310</v>
      </c>
      <c r="N77" s="25" t="s">
        <v>61</v>
      </c>
      <c r="O77" s="10" t="s">
        <v>76</v>
      </c>
      <c r="P77" s="9" t="str">
        <f t="shared" si="6"/>
        <v>已评分</v>
      </c>
      <c r="Q77" s="24">
        <f t="shared" si="7"/>
        <v>1</v>
      </c>
      <c r="R77" s="24">
        <f t="shared" si="8"/>
        <v>0</v>
      </c>
      <c r="S77" s="26">
        <f t="shared" si="9"/>
        <v>2</v>
      </c>
      <c r="T77" s="9" t="str">
        <f t="shared" si="10"/>
        <v>高：关键基础补齐</v>
      </c>
      <c r="U77" s="10" t="s">
        <v>1058</v>
      </c>
      <c r="V77" s="11">
        <v>46315</v>
      </c>
      <c r="W77" s="9" t="str">
        <f t="shared" si="11"/>
        <v>已明确</v>
      </c>
      <c r="X77" s="2" t="s">
        <v>1208</v>
      </c>
    </row>
    <row r="78" ht="152" customHeight="1" spans="1:24">
      <c r="A78" s="3" t="s">
        <v>898</v>
      </c>
      <c r="B78" s="3" t="s">
        <v>73</v>
      </c>
      <c r="C78" s="3" t="s">
        <v>899</v>
      </c>
      <c r="D78" s="24">
        <f>VLOOKUP(B78,'01 参数'!$A$14:$B$23,2,FALSE)/COUNTIF($B$6:$B$89,B78)</f>
        <v>1</v>
      </c>
      <c r="E78" s="3" t="s">
        <v>145</v>
      </c>
      <c r="F78" s="10" t="s">
        <v>1075</v>
      </c>
      <c r="G78" s="10"/>
      <c r="H78" s="10"/>
      <c r="I78" s="10"/>
      <c r="J78" s="10" t="s">
        <v>1209</v>
      </c>
      <c r="K78" s="25" t="s">
        <v>1075</v>
      </c>
      <c r="L78" s="10" t="s">
        <v>1057</v>
      </c>
      <c r="M78" s="11">
        <v>46310</v>
      </c>
      <c r="N78" s="25" t="s">
        <v>61</v>
      </c>
      <c r="O78" s="10" t="s">
        <v>76</v>
      </c>
      <c r="P78" s="9" t="str">
        <f t="shared" si="6"/>
        <v>已排除</v>
      </c>
      <c r="Q78" s="24">
        <f t="shared" si="7"/>
        <v>0</v>
      </c>
      <c r="R78" s="24">
        <f t="shared" si="8"/>
        <v>0</v>
      </c>
      <c r="S78" s="26" t="str">
        <f t="shared" si="9"/>
        <v/>
      </c>
      <c r="T78" s="9" t="str">
        <f t="shared" si="10"/>
        <v>不适用</v>
      </c>
      <c r="U78" s="10" t="s">
        <v>1058</v>
      </c>
      <c r="V78" s="11">
        <v>46315</v>
      </c>
      <c r="W78" s="9" t="str">
        <f t="shared" si="11"/>
        <v>不适用</v>
      </c>
      <c r="X78" s="2" t="s">
        <v>1210</v>
      </c>
    </row>
    <row r="79" ht="152" customHeight="1" spans="1:24">
      <c r="A79" s="3" t="s">
        <v>909</v>
      </c>
      <c r="B79" s="3" t="s">
        <v>73</v>
      </c>
      <c r="C79" s="3" t="s">
        <v>910</v>
      </c>
      <c r="D79" s="24">
        <f>VLOOKUP(B79,'01 参数'!$A$14:$B$23,2,FALSE)/COUNTIF($B$6:$B$89,B79)</f>
        <v>1</v>
      </c>
      <c r="E79" s="3" t="s">
        <v>111</v>
      </c>
      <c r="F79" s="10" t="s">
        <v>1054</v>
      </c>
      <c r="G79" s="10">
        <v>0</v>
      </c>
      <c r="H79" s="10">
        <v>4</v>
      </c>
      <c r="I79" s="10" t="s">
        <v>1055</v>
      </c>
      <c r="J79" s="10" t="s">
        <v>1211</v>
      </c>
      <c r="K79" s="10"/>
      <c r="L79" s="10" t="s">
        <v>1057</v>
      </c>
      <c r="M79" s="11">
        <v>46310</v>
      </c>
      <c r="N79" s="25" t="s">
        <v>61</v>
      </c>
      <c r="O79" s="10" t="s">
        <v>76</v>
      </c>
      <c r="P79" s="9" t="str">
        <f t="shared" si="6"/>
        <v>已评分</v>
      </c>
      <c r="Q79" s="24">
        <f t="shared" si="7"/>
        <v>1</v>
      </c>
      <c r="R79" s="24">
        <f t="shared" si="8"/>
        <v>0</v>
      </c>
      <c r="S79" s="26">
        <f t="shared" si="9"/>
        <v>4</v>
      </c>
      <c r="T79" s="9" t="str">
        <f t="shared" si="10"/>
        <v>高：关键基础补齐</v>
      </c>
      <c r="U79" s="10" t="s">
        <v>1058</v>
      </c>
      <c r="V79" s="11">
        <v>46315</v>
      </c>
      <c r="W79" s="9" t="str">
        <f t="shared" si="11"/>
        <v>已明确</v>
      </c>
      <c r="X79" s="2" t="s">
        <v>1212</v>
      </c>
    </row>
    <row r="80" ht="152" customHeight="1" spans="1:24">
      <c r="A80" s="3" t="s">
        <v>920</v>
      </c>
      <c r="B80" s="3" t="s">
        <v>73</v>
      </c>
      <c r="C80" s="3" t="s">
        <v>921</v>
      </c>
      <c r="D80" s="24">
        <f>VLOOKUP(B80,'01 参数'!$A$14:$B$23,2,FALSE)/COUNTIF($B$6:$B$89,B80)</f>
        <v>1</v>
      </c>
      <c r="E80" s="3" t="s">
        <v>145</v>
      </c>
      <c r="F80" s="10" t="s">
        <v>1054</v>
      </c>
      <c r="G80" s="10">
        <v>0</v>
      </c>
      <c r="H80" s="10">
        <v>4</v>
      </c>
      <c r="I80" s="10" t="s">
        <v>1055</v>
      </c>
      <c r="J80" s="10" t="s">
        <v>1213</v>
      </c>
      <c r="K80" s="10"/>
      <c r="L80" s="10" t="s">
        <v>1057</v>
      </c>
      <c r="M80" s="11">
        <v>46310</v>
      </c>
      <c r="N80" s="25" t="s">
        <v>61</v>
      </c>
      <c r="O80" s="10" t="s">
        <v>76</v>
      </c>
      <c r="P80" s="9" t="str">
        <f t="shared" si="6"/>
        <v>已评分</v>
      </c>
      <c r="Q80" s="24">
        <f t="shared" si="7"/>
        <v>1</v>
      </c>
      <c r="R80" s="24">
        <f t="shared" si="8"/>
        <v>0</v>
      </c>
      <c r="S80" s="26">
        <f t="shared" si="9"/>
        <v>4</v>
      </c>
      <c r="T80" s="9" t="str">
        <f t="shared" si="10"/>
        <v>高：业务改善</v>
      </c>
      <c r="U80" s="10" t="s">
        <v>1058</v>
      </c>
      <c r="V80" s="11">
        <v>46315</v>
      </c>
      <c r="W80" s="9" t="str">
        <f t="shared" si="11"/>
        <v>已明确</v>
      </c>
      <c r="X80" s="2" t="s">
        <v>1214</v>
      </c>
    </row>
    <row r="81" ht="152" customHeight="1" spans="1:24">
      <c r="A81" s="3" t="s">
        <v>931</v>
      </c>
      <c r="B81" s="3" t="s">
        <v>73</v>
      </c>
      <c r="C81" s="3" t="s">
        <v>932</v>
      </c>
      <c r="D81" s="24">
        <f>VLOOKUP(B81,'01 参数'!$A$14:$B$23,2,FALSE)/COUNTIF($B$6:$B$89,B81)</f>
        <v>1</v>
      </c>
      <c r="E81" s="3" t="s">
        <v>145</v>
      </c>
      <c r="F81" s="10" t="s">
        <v>1054</v>
      </c>
      <c r="G81" s="10">
        <v>0</v>
      </c>
      <c r="H81" s="10">
        <v>4</v>
      </c>
      <c r="I81" s="10" t="s">
        <v>1055</v>
      </c>
      <c r="J81" s="10" t="s">
        <v>1215</v>
      </c>
      <c r="K81" s="10"/>
      <c r="L81" s="10" t="s">
        <v>1057</v>
      </c>
      <c r="M81" s="11">
        <v>46310</v>
      </c>
      <c r="N81" s="25" t="s">
        <v>61</v>
      </c>
      <c r="O81" s="10" t="s">
        <v>76</v>
      </c>
      <c r="P81" s="9" t="str">
        <f t="shared" si="6"/>
        <v>已评分</v>
      </c>
      <c r="Q81" s="24">
        <f t="shared" si="7"/>
        <v>1</v>
      </c>
      <c r="R81" s="24">
        <f t="shared" si="8"/>
        <v>0</v>
      </c>
      <c r="S81" s="26">
        <f t="shared" si="9"/>
        <v>4</v>
      </c>
      <c r="T81" s="9" t="str">
        <f t="shared" si="10"/>
        <v>高：业务改善</v>
      </c>
      <c r="U81" s="10" t="s">
        <v>1058</v>
      </c>
      <c r="V81" s="11">
        <v>46315</v>
      </c>
      <c r="W81" s="9" t="str">
        <f t="shared" si="11"/>
        <v>已明确</v>
      </c>
      <c r="X81" s="2" t="s">
        <v>1216</v>
      </c>
    </row>
    <row r="82" ht="152" customHeight="1" spans="1:24">
      <c r="A82" s="3" t="s">
        <v>942</v>
      </c>
      <c r="B82" s="3" t="s">
        <v>74</v>
      </c>
      <c r="C82" s="3" t="s">
        <v>943</v>
      </c>
      <c r="D82" s="24">
        <f>VLOOKUP(B82,'01 参数'!$A$14:$B$23,2,FALSE)/COUNTIF($B$6:$B$89,B82)</f>
        <v>0.5</v>
      </c>
      <c r="E82" s="3" t="s">
        <v>111</v>
      </c>
      <c r="F82" s="10" t="s">
        <v>1054</v>
      </c>
      <c r="G82" s="10">
        <v>1</v>
      </c>
      <c r="H82" s="10">
        <v>3</v>
      </c>
      <c r="I82" s="10" t="s">
        <v>1055</v>
      </c>
      <c r="J82" s="10" t="s">
        <v>1217</v>
      </c>
      <c r="K82" s="10"/>
      <c r="L82" s="10" t="s">
        <v>1061</v>
      </c>
      <c r="M82" s="11">
        <v>46310</v>
      </c>
      <c r="N82" s="25" t="s">
        <v>61</v>
      </c>
      <c r="O82" s="10" t="s">
        <v>76</v>
      </c>
      <c r="P82" s="9" t="str">
        <f t="shared" si="6"/>
        <v>已评分</v>
      </c>
      <c r="Q82" s="24">
        <f t="shared" si="7"/>
        <v>0.5</v>
      </c>
      <c r="R82" s="24">
        <f t="shared" si="8"/>
        <v>0.1</v>
      </c>
      <c r="S82" s="26">
        <f t="shared" si="9"/>
        <v>2</v>
      </c>
      <c r="T82" s="9" t="str">
        <f t="shared" si="10"/>
        <v>高：关键基础补齐</v>
      </c>
      <c r="U82" s="10" t="s">
        <v>1062</v>
      </c>
      <c r="V82" s="11">
        <v>46315</v>
      </c>
      <c r="W82" s="9" t="str">
        <f t="shared" si="11"/>
        <v>已明确</v>
      </c>
      <c r="X82" s="2" t="s">
        <v>1218</v>
      </c>
    </row>
    <row r="83" ht="152" customHeight="1" spans="1:24">
      <c r="A83" s="3" t="s">
        <v>955</v>
      </c>
      <c r="B83" s="3" t="s">
        <v>74</v>
      </c>
      <c r="C83" s="3" t="s">
        <v>956</v>
      </c>
      <c r="D83" s="24">
        <f>VLOOKUP(B83,'01 参数'!$A$14:$B$23,2,FALSE)/COUNTIF($B$6:$B$89,B83)</f>
        <v>0.5</v>
      </c>
      <c r="E83" s="3" t="s">
        <v>145</v>
      </c>
      <c r="F83" s="10" t="s">
        <v>1054</v>
      </c>
      <c r="G83" s="10">
        <v>1</v>
      </c>
      <c r="H83" s="10">
        <v>3</v>
      </c>
      <c r="I83" s="10" t="s">
        <v>1055</v>
      </c>
      <c r="J83" s="10" t="s">
        <v>1219</v>
      </c>
      <c r="K83" s="10"/>
      <c r="L83" s="10" t="s">
        <v>1057</v>
      </c>
      <c r="M83" s="11">
        <v>46310</v>
      </c>
      <c r="N83" s="25" t="s">
        <v>61</v>
      </c>
      <c r="O83" s="10" t="s">
        <v>76</v>
      </c>
      <c r="P83" s="9" t="str">
        <f t="shared" si="6"/>
        <v>已评分</v>
      </c>
      <c r="Q83" s="24">
        <f t="shared" si="7"/>
        <v>0.5</v>
      </c>
      <c r="R83" s="24">
        <f t="shared" si="8"/>
        <v>0.1</v>
      </c>
      <c r="S83" s="26">
        <f t="shared" si="9"/>
        <v>2</v>
      </c>
      <c r="T83" s="9" t="str">
        <f t="shared" si="10"/>
        <v>高：业务改善</v>
      </c>
      <c r="U83" s="10" t="s">
        <v>1058</v>
      </c>
      <c r="V83" s="11">
        <v>46315</v>
      </c>
      <c r="W83" s="9" t="str">
        <f t="shared" si="11"/>
        <v>已明确</v>
      </c>
      <c r="X83" s="2" t="s">
        <v>1220</v>
      </c>
    </row>
    <row r="84" ht="152" customHeight="1" spans="1:24">
      <c r="A84" s="3" t="s">
        <v>966</v>
      </c>
      <c r="B84" s="3" t="s">
        <v>74</v>
      </c>
      <c r="C84" s="3" t="s">
        <v>967</v>
      </c>
      <c r="D84" s="24">
        <f>VLOOKUP(B84,'01 参数'!$A$14:$B$23,2,FALSE)/COUNTIF($B$6:$B$89,B84)</f>
        <v>0.5</v>
      </c>
      <c r="E84" s="3" t="s">
        <v>145</v>
      </c>
      <c r="F84" s="10" t="s">
        <v>1075</v>
      </c>
      <c r="G84" s="10"/>
      <c r="H84" s="10"/>
      <c r="I84" s="10"/>
      <c r="J84" s="10" t="s">
        <v>1221</v>
      </c>
      <c r="K84" s="25" t="s">
        <v>1075</v>
      </c>
      <c r="L84" s="10" t="s">
        <v>1057</v>
      </c>
      <c r="M84" s="11">
        <v>46310</v>
      </c>
      <c r="N84" s="25" t="s">
        <v>61</v>
      </c>
      <c r="O84" s="10" t="s">
        <v>76</v>
      </c>
      <c r="P84" s="9" t="str">
        <f t="shared" si="6"/>
        <v>已排除</v>
      </c>
      <c r="Q84" s="24">
        <f t="shared" si="7"/>
        <v>0</v>
      </c>
      <c r="R84" s="24">
        <f t="shared" si="8"/>
        <v>0</v>
      </c>
      <c r="S84" s="26" t="str">
        <f t="shared" si="9"/>
        <v/>
      </c>
      <c r="T84" s="9" t="str">
        <f t="shared" si="10"/>
        <v>不适用</v>
      </c>
      <c r="U84" s="10" t="s">
        <v>1058</v>
      </c>
      <c r="V84" s="11">
        <v>46315</v>
      </c>
      <c r="W84" s="9" t="str">
        <f t="shared" si="11"/>
        <v>不适用</v>
      </c>
      <c r="X84" s="2" t="s">
        <v>1222</v>
      </c>
    </row>
    <row r="85" ht="152" customHeight="1" spans="1:24">
      <c r="A85" s="3" t="s">
        <v>977</v>
      </c>
      <c r="B85" s="3" t="s">
        <v>74</v>
      </c>
      <c r="C85" s="3" t="s">
        <v>978</v>
      </c>
      <c r="D85" s="24">
        <f>VLOOKUP(B85,'01 参数'!$A$14:$B$23,2,FALSE)/COUNTIF($B$6:$B$89,B85)</f>
        <v>0.5</v>
      </c>
      <c r="E85" s="3" t="s">
        <v>145</v>
      </c>
      <c r="F85" s="10" t="s">
        <v>1075</v>
      </c>
      <c r="G85" s="10"/>
      <c r="H85" s="10"/>
      <c r="I85" s="10"/>
      <c r="J85" s="10" t="s">
        <v>1223</v>
      </c>
      <c r="K85" s="25" t="s">
        <v>1075</v>
      </c>
      <c r="L85" s="10" t="s">
        <v>1057</v>
      </c>
      <c r="M85" s="11">
        <v>46310</v>
      </c>
      <c r="N85" s="25" t="s">
        <v>61</v>
      </c>
      <c r="O85" s="10" t="s">
        <v>76</v>
      </c>
      <c r="P85" s="9" t="str">
        <f t="shared" si="6"/>
        <v>已排除</v>
      </c>
      <c r="Q85" s="24">
        <f t="shared" si="7"/>
        <v>0</v>
      </c>
      <c r="R85" s="24">
        <f t="shared" si="8"/>
        <v>0</v>
      </c>
      <c r="S85" s="26" t="str">
        <f t="shared" si="9"/>
        <v/>
      </c>
      <c r="T85" s="9" t="str">
        <f t="shared" si="10"/>
        <v>不适用</v>
      </c>
      <c r="U85" s="10" t="s">
        <v>1058</v>
      </c>
      <c r="V85" s="11">
        <v>46315</v>
      </c>
      <c r="W85" s="9" t="str">
        <f t="shared" si="11"/>
        <v>不适用</v>
      </c>
      <c r="X85" s="2" t="s">
        <v>1224</v>
      </c>
    </row>
    <row r="86" ht="152" customHeight="1" spans="1:24">
      <c r="A86" s="3" t="s">
        <v>988</v>
      </c>
      <c r="B86" s="3" t="s">
        <v>74</v>
      </c>
      <c r="C86" s="3" t="s">
        <v>989</v>
      </c>
      <c r="D86" s="24">
        <f>VLOOKUP(B86,'01 参数'!$A$14:$B$23,2,FALSE)/COUNTIF($B$6:$B$89,B86)</f>
        <v>0.5</v>
      </c>
      <c r="E86" s="3" t="s">
        <v>145</v>
      </c>
      <c r="F86" s="10" t="s">
        <v>1054</v>
      </c>
      <c r="G86" s="10">
        <v>2</v>
      </c>
      <c r="H86" s="10">
        <v>3</v>
      </c>
      <c r="I86" s="10" t="s">
        <v>1055</v>
      </c>
      <c r="J86" s="10" t="s">
        <v>1225</v>
      </c>
      <c r="K86" s="10"/>
      <c r="L86" s="10" t="s">
        <v>1057</v>
      </c>
      <c r="M86" s="11">
        <v>46310</v>
      </c>
      <c r="N86" s="25" t="s">
        <v>61</v>
      </c>
      <c r="O86" s="10" t="s">
        <v>76</v>
      </c>
      <c r="P86" s="9" t="str">
        <f t="shared" si="6"/>
        <v>已评分</v>
      </c>
      <c r="Q86" s="24">
        <f t="shared" si="7"/>
        <v>0.5</v>
      </c>
      <c r="R86" s="24">
        <f t="shared" si="8"/>
        <v>0.2</v>
      </c>
      <c r="S86" s="26">
        <f t="shared" si="9"/>
        <v>1</v>
      </c>
      <c r="T86" s="9" t="str">
        <f t="shared" si="10"/>
        <v>高：业务改善</v>
      </c>
      <c r="U86" s="10" t="s">
        <v>1058</v>
      </c>
      <c r="V86" s="11">
        <v>46315</v>
      </c>
      <c r="W86" s="9" t="str">
        <f t="shared" si="11"/>
        <v>已明确</v>
      </c>
      <c r="X86" s="2" t="s">
        <v>1226</v>
      </c>
    </row>
    <row r="87" ht="152" customHeight="1" spans="1:24">
      <c r="A87" s="3" t="s">
        <v>999</v>
      </c>
      <c r="B87" s="3" t="s">
        <v>74</v>
      </c>
      <c r="C87" s="3" t="s">
        <v>1000</v>
      </c>
      <c r="D87" s="24">
        <f>VLOOKUP(B87,'01 参数'!$A$14:$B$23,2,FALSE)/COUNTIF($B$6:$B$89,B87)</f>
        <v>0.5</v>
      </c>
      <c r="E87" s="3" t="s">
        <v>145</v>
      </c>
      <c r="F87" s="10" t="s">
        <v>1054</v>
      </c>
      <c r="G87" s="10">
        <v>1</v>
      </c>
      <c r="H87" s="10">
        <v>3</v>
      </c>
      <c r="I87" s="10" t="s">
        <v>1090</v>
      </c>
      <c r="J87" s="10" t="s">
        <v>1227</v>
      </c>
      <c r="K87" s="10"/>
      <c r="L87" s="10" t="s">
        <v>1061</v>
      </c>
      <c r="M87" s="11">
        <v>46310</v>
      </c>
      <c r="N87" s="25" t="s">
        <v>61</v>
      </c>
      <c r="O87" s="10" t="s">
        <v>76</v>
      </c>
      <c r="P87" s="9" t="str">
        <f t="shared" si="6"/>
        <v>已评分</v>
      </c>
      <c r="Q87" s="24">
        <f t="shared" si="7"/>
        <v>0.5</v>
      </c>
      <c r="R87" s="24">
        <f t="shared" si="8"/>
        <v>0.1</v>
      </c>
      <c r="S87" s="26">
        <f t="shared" si="9"/>
        <v>2</v>
      </c>
      <c r="T87" s="9" t="str">
        <f t="shared" si="10"/>
        <v>中：能力提升</v>
      </c>
      <c r="U87" s="10" t="s">
        <v>1062</v>
      </c>
      <c r="V87" s="11">
        <v>46315</v>
      </c>
      <c r="W87" s="9" t="str">
        <f t="shared" si="11"/>
        <v>已明确</v>
      </c>
      <c r="X87" s="2" t="s">
        <v>1228</v>
      </c>
    </row>
    <row r="88" ht="152" customHeight="1" spans="1:24">
      <c r="A88" s="3" t="s">
        <v>1010</v>
      </c>
      <c r="B88" s="3" t="s">
        <v>74</v>
      </c>
      <c r="C88" s="3" t="s">
        <v>1011</v>
      </c>
      <c r="D88" s="24">
        <f>VLOOKUP(B88,'01 参数'!$A$14:$B$23,2,FALSE)/COUNTIF($B$6:$B$89,B88)</f>
        <v>0.5</v>
      </c>
      <c r="E88" s="3" t="s">
        <v>145</v>
      </c>
      <c r="F88" s="10" t="s">
        <v>1054</v>
      </c>
      <c r="G88" s="10">
        <v>1</v>
      </c>
      <c r="H88" s="10">
        <v>3</v>
      </c>
      <c r="I88" s="10" t="s">
        <v>1066</v>
      </c>
      <c r="J88" s="10" t="s">
        <v>1229</v>
      </c>
      <c r="K88" s="10"/>
      <c r="L88" s="10" t="s">
        <v>1057</v>
      </c>
      <c r="M88" s="11">
        <v>46310</v>
      </c>
      <c r="N88" s="25" t="s">
        <v>61</v>
      </c>
      <c r="O88" s="10" t="s">
        <v>76</v>
      </c>
      <c r="P88" s="9" t="str">
        <f t="shared" si="6"/>
        <v>已评分</v>
      </c>
      <c r="Q88" s="24">
        <f t="shared" si="7"/>
        <v>0.5</v>
      </c>
      <c r="R88" s="24">
        <f t="shared" si="8"/>
        <v>0.1</v>
      </c>
      <c r="S88" s="26">
        <f t="shared" si="9"/>
        <v>2</v>
      </c>
      <c r="T88" s="9" t="str">
        <f t="shared" si="10"/>
        <v>中：能力提升</v>
      </c>
      <c r="U88" s="10" t="s">
        <v>1058</v>
      </c>
      <c r="V88" s="11">
        <v>46315</v>
      </c>
      <c r="W88" s="9" t="str">
        <f t="shared" si="11"/>
        <v>已明确</v>
      </c>
      <c r="X88" s="2" t="s">
        <v>1230</v>
      </c>
    </row>
    <row r="89" ht="152" customHeight="1" spans="1:24">
      <c r="A89" s="3" t="s">
        <v>1021</v>
      </c>
      <c r="B89" s="3" t="s">
        <v>74</v>
      </c>
      <c r="C89" s="3" t="s">
        <v>1022</v>
      </c>
      <c r="D89" s="24">
        <f>VLOOKUP(B89,'01 参数'!$A$14:$B$23,2,FALSE)/COUNTIF($B$6:$B$89,B89)</f>
        <v>0.5</v>
      </c>
      <c r="E89" s="3" t="s">
        <v>145</v>
      </c>
      <c r="F89" s="10" t="s">
        <v>1054</v>
      </c>
      <c r="G89" s="10">
        <v>1</v>
      </c>
      <c r="H89" s="10">
        <v>3</v>
      </c>
      <c r="I89" s="10" t="s">
        <v>1066</v>
      </c>
      <c r="J89" s="10" t="s">
        <v>1231</v>
      </c>
      <c r="K89" s="10"/>
      <c r="L89" s="10" t="s">
        <v>1057</v>
      </c>
      <c r="M89" s="11">
        <v>46310</v>
      </c>
      <c r="N89" s="25" t="s">
        <v>61</v>
      </c>
      <c r="O89" s="10" t="s">
        <v>76</v>
      </c>
      <c r="P89" s="9" t="str">
        <f t="shared" si="6"/>
        <v>已评分</v>
      </c>
      <c r="Q89" s="24">
        <f t="shared" si="7"/>
        <v>0.5</v>
      </c>
      <c r="R89" s="24">
        <f t="shared" si="8"/>
        <v>0.1</v>
      </c>
      <c r="S89" s="26">
        <f t="shared" si="9"/>
        <v>2</v>
      </c>
      <c r="T89" s="9" t="str">
        <f t="shared" si="10"/>
        <v>中：能力提升</v>
      </c>
      <c r="U89" s="10" t="s">
        <v>1058</v>
      </c>
      <c r="V89" s="11">
        <v>46315</v>
      </c>
      <c r="W89" s="9" t="str">
        <f t="shared" si="11"/>
        <v>已明确</v>
      </c>
      <c r="X89" s="2" t="s">
        <v>1232</v>
      </c>
    </row>
  </sheetData>
  <mergeCells count="2">
    <mergeCell ref="A1:W1"/>
    <mergeCell ref="A2:W3"/>
  </mergeCells>
  <conditionalFormatting sqref="G6:G89">
    <cfRule type="expression" dxfId="0" priority="1">
      <formula>AND(ISNUMBER(G6),G6&lt;3,E6="是")</formula>
    </cfRule>
  </conditionalFormatting>
  <conditionalFormatting sqref="P6:P89">
    <cfRule type="expression" dxfId="1" priority="2">
      <formula>P6="已评分"</formula>
    </cfRule>
    <cfRule type="expression" dxfId="0" priority="3">
      <formula>P6="关键基础不可排除"</formula>
    </cfRule>
    <cfRule type="expression" dxfId="1" priority="4">
      <formula>P6="资料已判定"</formula>
    </cfRule>
  </conditionalFormatting>
  <dataValidations count="4">
    <dataValidation type="list" sqref="F6:F89">
      <formula1>"适用,不适用"</formula1>
    </dataValidation>
    <dataValidation type="list" sqref="I6:I89">
      <formula1>"高,中,低"</formula1>
    </dataValidation>
    <dataValidation type="list" sqref="O6:O89">
      <formula1>"资料判定完成,待补证,质量待访,未评,待复核,已确认"</formula1>
    </dataValidation>
    <dataValidation type="whole" operator="between" sqref="G6:H89">
      <formula1>0</formula1>
      <formula2>5</formula2>
    </dataValidation>
  </dataValidations>
  <pageMargins left="0.7" right="0.7" top="0.75" bottom="0.75" header="0.3" footer="0.3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showGridLines="0" workbookViewId="0">
      <pane ySplit="5" topLeftCell="A15" activePane="bottomLeft" state="frozen"/>
      <selection/>
      <selection pane="bottomLeft" activeCell="B26" sqref="B26:F26"/>
    </sheetView>
  </sheetViews>
  <sheetFormatPr defaultColWidth="9" defaultRowHeight="16.8"/>
  <cols>
    <col min="1" max="1" width="27" customWidth="1"/>
    <col min="2" max="5" width="14" customWidth="1"/>
    <col min="6" max="6" width="15" customWidth="1"/>
    <col min="7" max="7" width="16" customWidth="1"/>
    <col min="8" max="8" width="15" customWidth="1"/>
    <col min="9" max="9" width="19" customWidth="1"/>
    <col min="10" max="10" width="23" customWidth="1"/>
    <col min="11" max="11" width="18" customWidth="1"/>
    <col min="12" max="12" width="20" customWidth="1"/>
    <col min="13" max="13" width="91" customWidth="1"/>
  </cols>
  <sheetData>
    <row r="1" ht="38" customHeight="1" spans="1:13">
      <c r="A1" s="1" t="s">
        <v>1233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3" customHeight="1" spans="1:13">
      <c r="A2" s="2" t="s">
        <v>1234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3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42" customHeight="1" spans="1:13">
      <c r="A5" s="4" t="s">
        <v>87</v>
      </c>
      <c r="B5" s="4" t="s">
        <v>1034</v>
      </c>
      <c r="C5" s="4" t="s">
        <v>1235</v>
      </c>
      <c r="D5" s="4" t="s">
        <v>1236</v>
      </c>
      <c r="E5" s="4" t="s">
        <v>1237</v>
      </c>
      <c r="F5" s="4" t="s">
        <v>1238</v>
      </c>
      <c r="G5" s="4" t="s">
        <v>1046</v>
      </c>
      <c r="H5" s="4" t="s">
        <v>1047</v>
      </c>
      <c r="I5" s="4" t="s">
        <v>1239</v>
      </c>
      <c r="J5" s="4" t="s">
        <v>1240</v>
      </c>
      <c r="K5" s="4" t="s">
        <v>1241</v>
      </c>
      <c r="L5" s="12" t="s">
        <v>1242</v>
      </c>
      <c r="M5" s="12" t="s">
        <v>1243</v>
      </c>
    </row>
    <row r="6" ht="85" customHeight="1" spans="1:13">
      <c r="A6" s="3" t="s">
        <v>64</v>
      </c>
      <c r="B6" s="13">
        <f>SUMIF('03 诊断评分'!$B$6:$B$89,A6,'03 诊断评分'!$D$6:$D$89)</f>
        <v>6</v>
      </c>
      <c r="C6" s="9">
        <f>COUNTIFS('03 诊断评分'!$B$6:$B$89,A6,'03 诊断评分'!$P$6:$P$89,"已评分")+COUNTIFS('03 诊断评分'!$B$6:$B$89,A6,'03 诊断评分'!$P$6:$P$89,"资料已判定")</f>
        <v>7</v>
      </c>
      <c r="D6" s="9">
        <f>COUNTIFS('03 诊断评分'!$B$6:$B$89,A6,'03 诊断评分'!$P$6:$P$89,"已排除")</f>
        <v>1</v>
      </c>
      <c r="E6" s="9">
        <f>COUNTIF('03 诊断评分'!$B$6:$B$89,A6)-C6-D6</f>
        <v>0</v>
      </c>
      <c r="F6" s="13">
        <f>B6-SUMIFS('03 诊断评分'!$D$6:$D$89,'03 诊断评分'!$B$6:$B$89,A6,'03 诊断评分'!$P$6:$P$89,"已排除")</f>
        <v>5.25</v>
      </c>
      <c r="G6" s="13">
        <f>SUMIF('03 诊断评分'!$B$6:$B$89,A6,'03 诊断评分'!$Q$6:$Q$89)</f>
        <v>5.25</v>
      </c>
      <c r="H6" s="13">
        <f>SUMIF('03 诊断评分'!$B$6:$B$89,A6,'03 诊断评分'!$R$6:$R$89)</f>
        <v>1.35</v>
      </c>
      <c r="I6" s="13">
        <f t="shared" ref="I6:I15" si="0">IF(G6=0,"",H6/G6*100)</f>
        <v>25.7142857142857</v>
      </c>
      <c r="J6" s="13">
        <f>IF(E6&gt;0,"待补证/复核",IF(COUNTIFS('03 诊断评分'!$B$6:$B$89,A6,'03 诊断评分'!$P$6:$P$89,"资料已判定")&gt;0,"待企业复核",IF(F6=0,"全部排除",H6/F6*100)))</f>
        <v>25.7142857142857</v>
      </c>
      <c r="K6" s="9">
        <f>COUNTIFS('03 诊断评分'!$B$6:$B$89,A6,'03 诊断评分'!$P$6:$P$89,"已评分",'03 诊断评分'!$E$6:$E$89,"是",'03 诊断评分'!$G$6:$G$89,"&lt;3")+COUNTIFS('03 诊断评分'!$B$6:$B$89,A6,'03 诊断评分'!$P$6:$P$89,"资料已判定",'03 诊断评分'!$E$6:$E$89,"是",'03 诊断评分'!$G$6:$G$89,"&lt;3")</f>
        <v>3</v>
      </c>
      <c r="L6" s="14">
        <f>C6/COUNTIF('03 诊断评分'!$B$6:$B$89,A6)</f>
        <v>0.875</v>
      </c>
      <c r="M6" s="2" t="s">
        <v>1244</v>
      </c>
    </row>
    <row r="7" ht="85" customHeight="1" spans="1:13">
      <c r="A7" s="3" t="s">
        <v>66</v>
      </c>
      <c r="B7" s="13">
        <f>SUMIF('03 诊断评分'!$B$6:$B$89,A7,'03 诊断评分'!$D$6:$D$89)</f>
        <v>8</v>
      </c>
      <c r="C7" s="9">
        <f>COUNTIFS('03 诊断评分'!$B$6:$B$89,A7,'03 诊断评分'!$P$6:$P$89,"已评分")+COUNTIFS('03 诊断评分'!$B$6:$B$89,A7,'03 诊断评分'!$P$6:$P$89,"资料已判定")</f>
        <v>8</v>
      </c>
      <c r="D7" s="9">
        <f>COUNTIFS('03 诊断评分'!$B$6:$B$89,A7,'03 诊断评分'!$P$6:$P$89,"已排除")</f>
        <v>0</v>
      </c>
      <c r="E7" s="9">
        <f>COUNTIF('03 诊断评分'!$B$6:$B$89,A7)-C7-D7</f>
        <v>0</v>
      </c>
      <c r="F7" s="13">
        <f>B7-SUMIFS('03 诊断评分'!$D$6:$D$89,'03 诊断评分'!$B$6:$B$89,A7,'03 诊断评分'!$P$6:$P$89,"已排除")</f>
        <v>8</v>
      </c>
      <c r="G7" s="13">
        <f>SUMIF('03 诊断评分'!$B$6:$B$89,A7,'03 诊断评分'!$Q$6:$Q$89)</f>
        <v>8</v>
      </c>
      <c r="H7" s="13">
        <f>SUMIF('03 诊断评分'!$B$6:$B$89,A7,'03 诊断评分'!$R$6:$R$89)</f>
        <v>3.2</v>
      </c>
      <c r="I7" s="13">
        <f t="shared" si="0"/>
        <v>40</v>
      </c>
      <c r="J7" s="13">
        <f>IF(E7&gt;0,"待补证/复核",IF(COUNTIFS('03 诊断评分'!$B$6:$B$89,A7,'03 诊断评分'!$P$6:$P$89,"资料已判定")&gt;0,"待企业复核",IF(F7=0,"全部排除",H7/F7*100)))</f>
        <v>40</v>
      </c>
      <c r="K7" s="9">
        <f>COUNTIFS('03 诊断评分'!$B$6:$B$89,A7,'03 诊断评分'!$P$6:$P$89,"已评分",'03 诊断评分'!$E$6:$E$89,"是",'03 诊断评分'!$G$6:$G$89,"&lt;3")+COUNTIFS('03 诊断评分'!$B$6:$B$89,A7,'03 诊断评分'!$P$6:$P$89,"资料已判定",'03 诊断评分'!$E$6:$E$89,"是",'03 诊断评分'!$G$6:$G$89,"&lt;3")</f>
        <v>3</v>
      </c>
      <c r="L7" s="14">
        <f>C7/COUNTIF('03 诊断评分'!$B$6:$B$89,A7)</f>
        <v>1</v>
      </c>
      <c r="M7" s="2" t="s">
        <v>1245</v>
      </c>
    </row>
    <row r="8" ht="85" customHeight="1" spans="1:13">
      <c r="A8" s="3" t="s">
        <v>67</v>
      </c>
      <c r="B8" s="13">
        <f>SUMIF('03 诊断评分'!$B$6:$B$89,A8,'03 诊断评分'!$D$6:$D$89)</f>
        <v>8</v>
      </c>
      <c r="C8" s="9">
        <f>COUNTIFS('03 诊断评分'!$B$6:$B$89,A8,'03 诊断评分'!$P$6:$P$89,"已评分")+COUNTIFS('03 诊断评分'!$B$6:$B$89,A8,'03 诊断评分'!$P$6:$P$89,"资料已判定")</f>
        <v>7</v>
      </c>
      <c r="D8" s="9">
        <f>COUNTIFS('03 诊断评分'!$B$6:$B$89,A8,'03 诊断评分'!$P$6:$P$89,"已排除")</f>
        <v>1</v>
      </c>
      <c r="E8" s="9">
        <f>COUNTIF('03 诊断评分'!$B$6:$B$89,A8)-C8-D8</f>
        <v>0</v>
      </c>
      <c r="F8" s="13">
        <f>B8-SUMIFS('03 诊断评分'!$D$6:$D$89,'03 诊断评分'!$B$6:$B$89,A8,'03 诊断评分'!$P$6:$P$89,"已排除")</f>
        <v>7</v>
      </c>
      <c r="G8" s="13">
        <f>SUMIF('03 诊断评分'!$B$6:$B$89,A8,'03 诊断评分'!$Q$6:$Q$89)</f>
        <v>7</v>
      </c>
      <c r="H8" s="13">
        <f>SUMIF('03 诊断评分'!$B$6:$B$89,A8,'03 诊断评分'!$R$6:$R$89)</f>
        <v>1.8</v>
      </c>
      <c r="I8" s="13">
        <f t="shared" si="0"/>
        <v>25.7142857142857</v>
      </c>
      <c r="J8" s="13">
        <f>IF(E8&gt;0,"待补证/复核",IF(COUNTIFS('03 诊断评分'!$B$6:$B$89,A8,'03 诊断评分'!$P$6:$P$89,"资料已判定")&gt;0,"待企业复核",IF(F8=0,"全部排除",H8/F8*100)))</f>
        <v>25.7142857142857</v>
      </c>
      <c r="K8" s="9">
        <f>COUNTIFS('03 诊断评分'!$B$6:$B$89,A8,'03 诊断评分'!$P$6:$P$89,"已评分",'03 诊断评分'!$E$6:$E$89,"是",'03 诊断评分'!$G$6:$G$89,"&lt;3")+COUNTIFS('03 诊断评分'!$B$6:$B$89,A8,'03 诊断评分'!$P$6:$P$89,"资料已判定",'03 诊断评分'!$E$6:$E$89,"是",'03 诊断评分'!$G$6:$G$89,"&lt;3")</f>
        <v>4</v>
      </c>
      <c r="L8" s="14">
        <f>C8/COUNTIF('03 诊断评分'!$B$6:$B$89,A8)</f>
        <v>0.875</v>
      </c>
      <c r="M8" s="2" t="s">
        <v>1246</v>
      </c>
    </row>
    <row r="9" ht="85" customHeight="1" spans="1:13">
      <c r="A9" s="3" t="s">
        <v>68</v>
      </c>
      <c r="B9" s="13">
        <f>SUMIF('03 诊断评分'!$B$6:$B$89,A9,'03 诊断评分'!$D$6:$D$89)</f>
        <v>20</v>
      </c>
      <c r="C9" s="9">
        <f>COUNTIFS('03 诊断评分'!$B$6:$B$89,A9,'03 诊断评分'!$P$6:$P$89,"已评分")+COUNTIFS('03 诊断评分'!$B$6:$B$89,A9,'03 诊断评分'!$P$6:$P$89,"资料已判定")</f>
        <v>7</v>
      </c>
      <c r="D9" s="9">
        <f>COUNTIFS('03 诊断评分'!$B$6:$B$89,A9,'03 诊断评分'!$P$6:$P$89,"已排除")</f>
        <v>3</v>
      </c>
      <c r="E9" s="9">
        <f>COUNTIF('03 诊断评分'!$B$6:$B$89,A9)-C9-D9</f>
        <v>0</v>
      </c>
      <c r="F9" s="13">
        <f>B9-SUMIFS('03 诊断评分'!$D$6:$D$89,'03 诊断评分'!$B$6:$B$89,A9,'03 诊断评分'!$P$6:$P$89,"已排除")</f>
        <v>14</v>
      </c>
      <c r="G9" s="13">
        <f>SUMIF('03 诊断评分'!$B$6:$B$89,A9,'03 诊断评分'!$Q$6:$Q$89)</f>
        <v>14</v>
      </c>
      <c r="H9" s="13">
        <f>SUMIF('03 诊断评分'!$B$6:$B$89,A9,'03 诊断评分'!$R$6:$R$89)</f>
        <v>5.6</v>
      </c>
      <c r="I9" s="13">
        <f t="shared" si="0"/>
        <v>40</v>
      </c>
      <c r="J9" s="13">
        <f>IF(E9&gt;0,"待补证/复核",IF(COUNTIFS('03 诊断评分'!$B$6:$B$89,A9,'03 诊断评分'!$P$6:$P$89,"资料已判定")&gt;0,"待企业复核",IF(F9=0,"全部排除",H9/F9*100)))</f>
        <v>40</v>
      </c>
      <c r="K9" s="9">
        <f>COUNTIFS('03 诊断评分'!$B$6:$B$89,A9,'03 诊断评分'!$P$6:$P$89,"已评分",'03 诊断评分'!$E$6:$E$89,"是",'03 诊断评分'!$G$6:$G$89,"&lt;3")+COUNTIFS('03 诊断评分'!$B$6:$B$89,A9,'03 诊断评分'!$P$6:$P$89,"资料已判定",'03 诊断评分'!$E$6:$E$89,"是",'03 诊断评分'!$G$6:$G$89,"&lt;3")</f>
        <v>5</v>
      </c>
      <c r="L9" s="14">
        <f>C9/COUNTIF('03 诊断评分'!$B$6:$B$89,A9)</f>
        <v>0.7</v>
      </c>
      <c r="M9" s="2" t="s">
        <v>1247</v>
      </c>
    </row>
    <row r="10" ht="85" customHeight="1" spans="1:13">
      <c r="A10" s="3" t="s">
        <v>69</v>
      </c>
      <c r="B10" s="13">
        <f>SUMIF('03 诊断评分'!$B$6:$B$89,A10,'03 诊断评分'!$D$6:$D$89)</f>
        <v>12</v>
      </c>
      <c r="C10" s="9">
        <f>COUNTIFS('03 诊断评分'!$B$6:$B$89,A10,'03 诊断评分'!$P$6:$P$89,"已评分")+COUNTIFS('03 诊断评分'!$B$6:$B$89,A10,'03 诊断评分'!$P$6:$P$89,"资料已判定")</f>
        <v>7</v>
      </c>
      <c r="D10" s="9">
        <f>COUNTIFS('03 诊断评分'!$B$6:$B$89,A10,'03 诊断评分'!$P$6:$P$89,"已排除")</f>
        <v>1</v>
      </c>
      <c r="E10" s="9">
        <f>COUNTIF('03 诊断评分'!$B$6:$B$89,A10)-C10-D10</f>
        <v>0</v>
      </c>
      <c r="F10" s="13">
        <f>B10-SUMIFS('03 诊断评分'!$D$6:$D$89,'03 诊断评分'!$B$6:$B$89,A10,'03 诊断评分'!$P$6:$P$89,"已排除")</f>
        <v>10.5</v>
      </c>
      <c r="G10" s="13">
        <f>SUMIF('03 诊断评分'!$B$6:$B$89,A10,'03 诊断评分'!$Q$6:$Q$89)</f>
        <v>10.5</v>
      </c>
      <c r="H10" s="13">
        <f>SUMIF('03 诊断评分'!$B$6:$B$89,A10,'03 诊断评分'!$R$6:$R$89)</f>
        <v>3.6</v>
      </c>
      <c r="I10" s="13">
        <f t="shared" si="0"/>
        <v>34.2857142857143</v>
      </c>
      <c r="J10" s="13">
        <f>IF(E10&gt;0,"待补证/复核",IF(COUNTIFS('03 诊断评分'!$B$6:$B$89,A10,'03 诊断评分'!$P$6:$P$89,"资料已判定")&gt;0,"待企业复核",IF(F10=0,"全部排除",H10/F10*100)))</f>
        <v>34.2857142857143</v>
      </c>
      <c r="K10" s="9">
        <f>COUNTIFS('03 诊断评分'!$B$6:$B$89,A10,'03 诊断评分'!$P$6:$P$89,"已评分",'03 诊断评分'!$E$6:$E$89,"是",'03 诊断评分'!$G$6:$G$89,"&lt;3")+COUNTIFS('03 诊断评分'!$B$6:$B$89,A10,'03 诊断评分'!$P$6:$P$89,"资料已判定",'03 诊断评分'!$E$6:$E$89,"是",'03 诊断评分'!$G$6:$G$89,"&lt;3")</f>
        <v>2</v>
      </c>
      <c r="L10" s="14">
        <f>C10/COUNTIF('03 诊断评分'!$B$6:$B$89,A10)</f>
        <v>0.875</v>
      </c>
      <c r="M10" s="2" t="s">
        <v>1248</v>
      </c>
    </row>
    <row r="11" ht="85" customHeight="1" spans="1:13">
      <c r="A11" s="3" t="s">
        <v>70</v>
      </c>
      <c r="B11" s="13">
        <f>SUMIF('03 诊断评分'!$B$6:$B$89,A11,'03 诊断评分'!$D$6:$D$89)</f>
        <v>20</v>
      </c>
      <c r="C11" s="9">
        <f>COUNTIFS('03 诊断评分'!$B$6:$B$89,A11,'03 诊断评分'!$P$6:$P$89,"已评分")+COUNTIFS('03 诊断评分'!$B$6:$B$89,A11,'03 诊断评分'!$P$6:$P$89,"资料已判定")</f>
        <v>10</v>
      </c>
      <c r="D11" s="9">
        <f>COUNTIFS('03 诊断评分'!$B$6:$B$89,A11,'03 诊断评分'!$P$6:$P$89,"已排除")</f>
        <v>0</v>
      </c>
      <c r="E11" s="9">
        <f>COUNTIF('03 诊断评分'!$B$6:$B$89,A11)-C11-D11</f>
        <v>0</v>
      </c>
      <c r="F11" s="13">
        <f>B11-SUMIFS('03 诊断评分'!$D$6:$D$89,'03 诊断评分'!$B$6:$B$89,A11,'03 诊断评分'!$P$6:$P$89,"已排除")</f>
        <v>20</v>
      </c>
      <c r="G11" s="13">
        <f>SUMIF('03 诊断评分'!$B$6:$B$89,A11,'03 诊断评分'!$Q$6:$Q$89)</f>
        <v>20</v>
      </c>
      <c r="H11" s="13">
        <f>SUMIF('03 诊断评分'!$B$6:$B$89,A11,'03 诊断评分'!$R$6:$R$89)</f>
        <v>6</v>
      </c>
      <c r="I11" s="13">
        <f t="shared" si="0"/>
        <v>30</v>
      </c>
      <c r="J11" s="13">
        <f>IF(E11&gt;0,"待补证/复核",IF(COUNTIFS('03 诊断评分'!$B$6:$B$89,A11,'03 诊断评分'!$P$6:$P$89,"资料已判定")&gt;0,"待企业复核",IF(F11=0,"全部排除",H11/F11*100)))</f>
        <v>30</v>
      </c>
      <c r="K11" s="9">
        <f>COUNTIFS('03 诊断评分'!$B$6:$B$89,A11,'03 诊断评分'!$P$6:$P$89,"已评分",'03 诊断评分'!$E$6:$E$89,"是",'03 诊断评分'!$G$6:$G$89,"&lt;3")+COUNTIFS('03 诊断评分'!$B$6:$B$89,A11,'03 诊断评分'!$P$6:$P$89,"资料已判定",'03 诊断评分'!$E$6:$E$89,"是",'03 诊断评分'!$G$6:$G$89,"&lt;3")</f>
        <v>6</v>
      </c>
      <c r="L11" s="14">
        <f>C11/COUNTIF('03 诊断评分'!$B$6:$B$89,A11)</f>
        <v>1</v>
      </c>
      <c r="M11" s="2" t="s">
        <v>1249</v>
      </c>
    </row>
    <row r="12" ht="85" customHeight="1" spans="1:13">
      <c r="A12" s="3" t="s">
        <v>71</v>
      </c>
      <c r="B12" s="13">
        <f>SUMIF('03 诊断评分'!$B$6:$B$89,A12,'03 诊断评分'!$D$6:$D$89)</f>
        <v>6</v>
      </c>
      <c r="C12" s="9">
        <f>COUNTIFS('03 诊断评分'!$B$6:$B$89,A12,'03 诊断评分'!$P$6:$P$89,"已评分")+COUNTIFS('03 诊断评分'!$B$6:$B$89,A12,'03 诊断评分'!$P$6:$P$89,"资料已判定")</f>
        <v>8</v>
      </c>
      <c r="D12" s="9">
        <f>COUNTIFS('03 诊断评分'!$B$6:$B$89,A12,'03 诊断评分'!$P$6:$P$89,"已排除")</f>
        <v>0</v>
      </c>
      <c r="E12" s="9">
        <f>COUNTIF('03 诊断评分'!$B$6:$B$89,A12)-C12-D12</f>
        <v>0</v>
      </c>
      <c r="F12" s="13">
        <f>B12-SUMIFS('03 诊断评分'!$D$6:$D$89,'03 诊断评分'!$B$6:$B$89,A12,'03 诊断评分'!$P$6:$P$89,"已排除")</f>
        <v>6</v>
      </c>
      <c r="G12" s="13">
        <f>SUMIF('03 诊断评分'!$B$6:$B$89,A12,'03 诊断评分'!$Q$6:$Q$89)</f>
        <v>6</v>
      </c>
      <c r="H12" s="13">
        <f>SUMIF('03 诊断评分'!$B$6:$B$89,A12,'03 诊断评分'!$R$6:$R$89)</f>
        <v>1.5</v>
      </c>
      <c r="I12" s="13">
        <f t="shared" si="0"/>
        <v>25</v>
      </c>
      <c r="J12" s="13">
        <f>IF(E12&gt;0,"待补证/复核",IF(COUNTIFS('03 诊断评分'!$B$6:$B$89,A12,'03 诊断评分'!$P$6:$P$89,"资料已判定")&gt;0,"待企业复核",IF(F12=0,"全部排除",H12/F12*100)))</f>
        <v>25</v>
      </c>
      <c r="K12" s="9">
        <f>COUNTIFS('03 诊断评分'!$B$6:$B$89,A12,'03 诊断评分'!$P$6:$P$89,"已评分",'03 诊断评分'!$E$6:$E$89,"是",'03 诊断评分'!$G$6:$G$89,"&lt;3")+COUNTIFS('03 诊断评分'!$B$6:$B$89,A12,'03 诊断评分'!$P$6:$P$89,"资料已判定",'03 诊断评分'!$E$6:$E$89,"是",'03 诊断评分'!$G$6:$G$89,"&lt;3")</f>
        <v>0</v>
      </c>
      <c r="L12" s="14">
        <f>C12/COUNTIF('03 诊断评分'!$B$6:$B$89,A12)</f>
        <v>1</v>
      </c>
      <c r="M12" s="2" t="s">
        <v>1250</v>
      </c>
    </row>
    <row r="13" ht="85" customHeight="1" spans="1:13">
      <c r="A13" s="3" t="s">
        <v>72</v>
      </c>
      <c r="B13" s="13">
        <f>SUMIF('03 诊断评分'!$B$6:$B$89,A13,'03 诊断评分'!$D$6:$D$89)</f>
        <v>8</v>
      </c>
      <c r="C13" s="9">
        <f>COUNTIFS('03 诊断评分'!$B$6:$B$89,A13,'03 诊断评分'!$P$6:$P$89,"已评分")+COUNTIFS('03 诊断评分'!$B$6:$B$89,A13,'03 诊断评分'!$P$6:$P$89,"资料已判定")</f>
        <v>5</v>
      </c>
      <c r="D13" s="9">
        <f>COUNTIFS('03 诊断评分'!$B$6:$B$89,A13,'03 诊断评分'!$P$6:$P$89,"已排除")</f>
        <v>3</v>
      </c>
      <c r="E13" s="9">
        <f>COUNTIF('03 诊断评分'!$B$6:$B$89,A13)-C13-D13</f>
        <v>0</v>
      </c>
      <c r="F13" s="13">
        <f>B13-SUMIFS('03 诊断评分'!$D$6:$D$89,'03 诊断评分'!$B$6:$B$89,A13,'03 诊断评分'!$P$6:$P$89,"已排除")</f>
        <v>5</v>
      </c>
      <c r="G13" s="13">
        <f>SUMIF('03 诊断评分'!$B$6:$B$89,A13,'03 诊断评分'!$Q$6:$Q$89)</f>
        <v>5</v>
      </c>
      <c r="H13" s="13">
        <f>SUMIF('03 诊断评分'!$B$6:$B$89,A13,'03 诊断评分'!$R$6:$R$89)</f>
        <v>1.2</v>
      </c>
      <c r="I13" s="13">
        <f t="shared" si="0"/>
        <v>24</v>
      </c>
      <c r="J13" s="13">
        <f>IF(E13&gt;0,"待补证/复核",IF(COUNTIFS('03 诊断评分'!$B$6:$B$89,A13,'03 诊断评分'!$P$6:$P$89,"资料已判定")&gt;0,"待企业复核",IF(F13=0,"全部排除",H13/F13*100)))</f>
        <v>24</v>
      </c>
      <c r="K13" s="9">
        <f>COUNTIFS('03 诊断评分'!$B$6:$B$89,A13,'03 诊断评分'!$P$6:$P$89,"已评分",'03 诊断评分'!$E$6:$E$89,"是",'03 诊断评分'!$G$6:$G$89,"&lt;3")+COUNTIFS('03 诊断评分'!$B$6:$B$89,A13,'03 诊断评分'!$P$6:$P$89,"资料已判定",'03 诊断评分'!$E$6:$E$89,"是",'03 诊断评分'!$G$6:$G$89,"&lt;3")</f>
        <v>2</v>
      </c>
      <c r="L13" s="14">
        <f>C13/COUNTIF('03 诊断评分'!$B$6:$B$89,A13)</f>
        <v>0.625</v>
      </c>
      <c r="M13" s="2" t="s">
        <v>1251</v>
      </c>
    </row>
    <row r="14" ht="85" customHeight="1" spans="1:13">
      <c r="A14" s="3" t="s">
        <v>73</v>
      </c>
      <c r="B14" s="13">
        <f>SUMIF('03 诊断评分'!$B$6:$B$89,A14,'03 诊断评分'!$D$6:$D$89)</f>
        <v>8</v>
      </c>
      <c r="C14" s="9">
        <f>COUNTIFS('03 诊断评分'!$B$6:$B$89,A14,'03 诊断评分'!$P$6:$P$89,"已评分")+COUNTIFS('03 诊断评分'!$B$6:$B$89,A14,'03 诊断评分'!$P$6:$P$89,"资料已判定")</f>
        <v>7</v>
      </c>
      <c r="D14" s="9">
        <f>COUNTIFS('03 诊断评分'!$B$6:$B$89,A14,'03 诊断评分'!$P$6:$P$89,"已排除")</f>
        <v>1</v>
      </c>
      <c r="E14" s="9">
        <f>COUNTIF('03 诊断评分'!$B$6:$B$89,A14)-C14-D14</f>
        <v>0</v>
      </c>
      <c r="F14" s="13">
        <f>B14-SUMIFS('03 诊断评分'!$D$6:$D$89,'03 诊断评分'!$B$6:$B$89,A14,'03 诊断评分'!$P$6:$P$89,"已排除")</f>
        <v>7</v>
      </c>
      <c r="G14" s="13">
        <f>SUMIF('03 诊断评分'!$B$6:$B$89,A14,'03 诊断评分'!$Q$6:$Q$89)</f>
        <v>7</v>
      </c>
      <c r="H14" s="13">
        <f>SUMIF('03 诊断评分'!$B$6:$B$89,A14,'03 诊断评分'!$R$6:$R$89)</f>
        <v>0.6</v>
      </c>
      <c r="I14" s="13">
        <f t="shared" si="0"/>
        <v>8.57142857142857</v>
      </c>
      <c r="J14" s="13">
        <f>IF(E14&gt;0,"待补证/复核",IF(COUNTIFS('03 诊断评分'!$B$6:$B$89,A14,'03 诊断评分'!$P$6:$P$89,"资料已判定")&gt;0,"待企业复核",IF(F14=0,"全部排除",H14/F14*100)))</f>
        <v>8.57142857142857</v>
      </c>
      <c r="K14" s="9">
        <f>COUNTIFS('03 诊断评分'!$B$6:$B$89,A14,'03 诊断评分'!$P$6:$P$89,"已评分",'03 诊断评分'!$E$6:$E$89,"是",'03 诊断评分'!$G$6:$G$89,"&lt;3")+COUNTIFS('03 诊断评分'!$B$6:$B$89,A14,'03 诊断评分'!$P$6:$P$89,"资料已判定",'03 诊断评分'!$E$6:$E$89,"是",'03 诊断评分'!$G$6:$G$89,"&lt;3")</f>
        <v>5</v>
      </c>
      <c r="L14" s="14">
        <f>C14/COUNTIF('03 诊断评分'!$B$6:$B$89,A14)</f>
        <v>0.875</v>
      </c>
      <c r="M14" s="2" t="s">
        <v>1252</v>
      </c>
    </row>
    <row r="15" ht="85" customHeight="1" spans="1:13">
      <c r="A15" s="3" t="s">
        <v>74</v>
      </c>
      <c r="B15" s="13">
        <f>SUMIF('03 诊断评分'!$B$6:$B$89,A15,'03 诊断评分'!$D$6:$D$89)</f>
        <v>4</v>
      </c>
      <c r="C15" s="9">
        <f>COUNTIFS('03 诊断评分'!$B$6:$B$89,A15,'03 诊断评分'!$P$6:$P$89,"已评分")+COUNTIFS('03 诊断评分'!$B$6:$B$89,A15,'03 诊断评分'!$P$6:$P$89,"资料已判定")</f>
        <v>6</v>
      </c>
      <c r="D15" s="9">
        <f>COUNTIFS('03 诊断评分'!$B$6:$B$89,A15,'03 诊断评分'!$P$6:$P$89,"已排除")</f>
        <v>2</v>
      </c>
      <c r="E15" s="9">
        <f>COUNTIF('03 诊断评分'!$B$6:$B$89,A15)-C15-D15</f>
        <v>0</v>
      </c>
      <c r="F15" s="13">
        <f>B15-SUMIFS('03 诊断评分'!$D$6:$D$89,'03 诊断评分'!$B$6:$B$89,A15,'03 诊断评分'!$P$6:$P$89,"已排除")</f>
        <v>3</v>
      </c>
      <c r="G15" s="13">
        <f>SUMIF('03 诊断评分'!$B$6:$B$89,A15,'03 诊断评分'!$Q$6:$Q$89)</f>
        <v>3</v>
      </c>
      <c r="H15" s="13">
        <f>SUMIF('03 诊断评分'!$B$6:$B$89,A15,'03 诊断评分'!$R$6:$R$89)</f>
        <v>0.7</v>
      </c>
      <c r="I15" s="13">
        <f t="shared" si="0"/>
        <v>23.3333333333333</v>
      </c>
      <c r="J15" s="13">
        <f>IF(E15&gt;0,"待补证/复核",IF(COUNTIFS('03 诊断评分'!$B$6:$B$89,A15,'03 诊断评分'!$P$6:$P$89,"资料已判定")&gt;0,"待企业复核",IF(F15=0,"全部排除",H15/F15*100)))</f>
        <v>23.3333333333333</v>
      </c>
      <c r="K15" s="9">
        <f>COUNTIFS('03 诊断评分'!$B$6:$B$89,A15,'03 诊断评分'!$P$6:$P$89,"已评分",'03 诊断评分'!$E$6:$E$89,"是",'03 诊断评分'!$G$6:$G$89,"&lt;3")+COUNTIFS('03 诊断评分'!$B$6:$B$89,A15,'03 诊断评分'!$P$6:$P$89,"资料已判定",'03 诊断评分'!$E$6:$E$89,"是",'03 诊断评分'!$G$6:$G$89,"&lt;3")</f>
        <v>1</v>
      </c>
      <c r="L15" s="14">
        <f>C15/COUNTIF('03 诊断评分'!$B$6:$B$89,A15)</f>
        <v>0.75</v>
      </c>
      <c r="M15" s="2" t="s">
        <v>1253</v>
      </c>
    </row>
    <row r="18" ht="45" customHeight="1" spans="1:6">
      <c r="A18" s="15" t="s">
        <v>1254</v>
      </c>
      <c r="B18" s="15" t="s">
        <v>1255</v>
      </c>
      <c r="C18" s="16"/>
      <c r="D18" s="16"/>
      <c r="E18" s="16"/>
      <c r="F18" s="16"/>
    </row>
    <row r="19" ht="45" customHeight="1" spans="1:6">
      <c r="A19" s="17" t="s">
        <v>1256</v>
      </c>
      <c r="B19" s="18">
        <f>(SUM(C6:C15)+SUM(D6:D15))/84</f>
        <v>1</v>
      </c>
      <c r="C19" s="17"/>
      <c r="D19" s="17"/>
      <c r="E19" s="17"/>
      <c r="F19" s="17"/>
    </row>
    <row r="20" ht="45" customHeight="1" spans="1:6">
      <c r="A20" s="17" t="s">
        <v>1239</v>
      </c>
      <c r="B20" s="19">
        <f>IF(SUM(G6:G15)=0,"",SUM(H6:H15)/SUM(G6:G15)*100)</f>
        <v>29.7959183673469</v>
      </c>
      <c r="C20" s="17"/>
      <c r="D20" s="17"/>
      <c r="E20" s="17"/>
      <c r="F20" s="17"/>
    </row>
    <row r="21" ht="45" customHeight="1" spans="1:6">
      <c r="A21" s="17" t="s">
        <v>1257</v>
      </c>
      <c r="B21" s="19">
        <f>IF(COUNTIF('03 诊断评分'!$P$6:$P$89,"资料已判定")&gt;0,"",IF(AND(B19=1,SUM(F6:F15)&gt;0,AND('01 参数'!B6&lt;&gt;"",'01 参数'!B7&lt;&gt;"",'01 参数'!B8&lt;&gt;"",'01 参数'!B9&lt;&gt;"",ISNUMBER('01 参数'!B10),'01 参数'!B10&gt;=DATE(2000,1,1),'01 参数'!B10&lt;=DATE(9999,12,31),MOD(IF(ISNUMBER('01 参数'!B10),'01 参数'!B10,0),1)=0,'01 参数'!B11&lt;&gt;"",'01 参数'!B12&lt;&gt;"",'01 参数'!B24="已确认",'01 参数'!B26&lt;&gt;""),AND(ABS('01 参数'!B13-100)&lt;0.000001,COUNT('01 参数'!B14:B23)=10,MIN('01 参数'!B14:B23)&gt;0,MAX('01 参数'!B14:B23)&lt;=100)),SUM(H6:H15)/SUM(F6:F15)*100,""))</f>
        <v>29.7959183673469</v>
      </c>
      <c r="C21" s="17"/>
      <c r="D21" s="17"/>
      <c r="E21" s="17"/>
      <c r="F21" s="17"/>
    </row>
    <row r="22" ht="45" customHeight="1" spans="1:6">
      <c r="A22" s="17" t="s">
        <v>1258</v>
      </c>
      <c r="B22" s="20" t="str">
        <f>IF(B21="","不作整厂评级",IF(B21&lt;40,"先补制造基础",IF(B21&lt;60,"规范并贯通主流程",IF(B21&lt;80,"补齐集成与数据闭环","验证持续优化和复制"))))</f>
        <v>先补制造基础</v>
      </c>
      <c r="C22" s="17"/>
      <c r="D22" s="17"/>
      <c r="E22" s="17"/>
      <c r="F22" s="17"/>
    </row>
    <row r="23" ht="45" customHeight="1" spans="1:6">
      <c r="A23" s="17" t="s">
        <v>1259</v>
      </c>
      <c r="B23" s="20">
        <f>SUM(K6:K15)</f>
        <v>31</v>
      </c>
      <c r="C23" s="17"/>
      <c r="D23" s="17"/>
      <c r="E23" s="17"/>
      <c r="F23" s="17"/>
    </row>
    <row r="24" ht="55" customHeight="1" spans="1:6">
      <c r="A24" s="17" t="s">
        <v>1260</v>
      </c>
      <c r="B24" s="20" t="str">
        <f>IF(B21&lt;&gt;"","企业复核及范围条件已满足",IF(B19&lt;1,"本次资料判定完成；仍有未赋分及企业复核","资料判定完成；待企业复核/范围确认"))</f>
        <v>企业复核及范围条件已满足</v>
      </c>
      <c r="C24" s="17"/>
      <c r="D24" s="17"/>
      <c r="E24" s="17"/>
      <c r="F24" s="17"/>
    </row>
    <row r="25" ht="45" customHeight="1" spans="1:6">
      <c r="A25" s="17" t="s">
        <v>1261</v>
      </c>
      <c r="B25" s="21">
        <f>SUM(B6:B15)-SUM(F6:F15)</f>
        <v>14.25</v>
      </c>
      <c r="C25" s="17"/>
      <c r="D25" s="17"/>
      <c r="E25" s="17"/>
      <c r="F25" s="17"/>
    </row>
    <row r="26" ht="45" customHeight="1" spans="1:6">
      <c r="A26" s="17" t="s">
        <v>1262</v>
      </c>
      <c r="B26" s="20">
        <f>COUNTIFS('03 诊断评分'!$P$6:$P$89,"已评分",'03 诊断评分'!$W$6:$W$89,"&lt;&gt;已明确")+COUNTIFS('03 诊断评分'!$P$6:$P$89,"资料已判定",'03 诊断评分'!$W$6:$W$89,"&lt;&gt;已明确")</f>
        <v>0</v>
      </c>
      <c r="C26" s="17"/>
      <c r="D26" s="17"/>
      <c r="E26" s="17"/>
      <c r="F26" s="17"/>
    </row>
    <row r="27" ht="45" customHeight="1" spans="1:6">
      <c r="A27" s="17" t="s">
        <v>1263</v>
      </c>
      <c r="B27" s="20" t="str">
        <f>IF(AND('01 参数'!B6&lt;&gt;"",'01 参数'!B7&lt;&gt;"",'01 参数'!B8&lt;&gt;"",'01 参数'!B9&lt;&gt;"",ISNUMBER('01 参数'!B10),'01 参数'!B10&gt;=DATE(2000,1,1),'01 参数'!B10&lt;=DATE(9999,12,31),MOD(IF(ISNUMBER('01 参数'!B10),'01 参数'!B10,0),1)=0,'01 参数'!B11&lt;&gt;"",'01 参数'!B12&lt;&gt;"",'01 参数'!B24="已确认",'01 参数'!B26&lt;&gt;""),"已确认","待填写/确认范围与参数")</f>
        <v>已确认</v>
      </c>
      <c r="C27" s="17"/>
      <c r="D27" s="17"/>
      <c r="E27" s="17"/>
      <c r="F27" s="17"/>
    </row>
    <row r="28" ht="45" customHeight="1" spans="1:6">
      <c r="A28" s="17" t="s">
        <v>1264</v>
      </c>
      <c r="B28" s="21">
        <f>SUM(F6:F15)</f>
        <v>85.75</v>
      </c>
      <c r="C28" s="17"/>
      <c r="D28" s="17"/>
      <c r="E28" s="17"/>
      <c r="F28" s="17"/>
    </row>
    <row r="29" ht="65" customHeight="1" spans="1:6">
      <c r="A29" s="17" t="s">
        <v>1265</v>
      </c>
      <c r="B29" s="6" t="str">
        <f>"已判定"&amp;SUM(C6:C15)&amp;"项，未赋分"&amp;SUM(E6:E15)&amp;"项；仅反映资料覆盖。正式整厂评分仍受企业复核、范围与权重条件约束。"</f>
        <v>已判定72项，未赋分0项；仅反映资料覆盖。正式整厂评分仍受企业复核、范围与权重条件约束。</v>
      </c>
      <c r="C29" s="6"/>
      <c r="D29" s="6"/>
      <c r="E29" s="6"/>
      <c r="F29" s="6"/>
    </row>
    <row r="30" ht="40" customHeight="1" spans="1:6">
      <c r="A30" s="6" t="s">
        <v>1266</v>
      </c>
      <c r="B30" s="22">
        <f>SUM('03 诊断评分'!Q6:Q89)</f>
        <v>85.75</v>
      </c>
      <c r="C30" s="23"/>
      <c r="D30" s="23"/>
      <c r="E30" s="23"/>
      <c r="F30" s="23"/>
    </row>
    <row r="31" ht="40" customHeight="1" spans="1:6">
      <c r="A31" s="6" t="s">
        <v>1267</v>
      </c>
      <c r="B31" s="22">
        <f>SUM('03 诊断评分'!D6:D89)-B30-B25</f>
        <v>0</v>
      </c>
      <c r="C31" s="23"/>
      <c r="D31" s="23"/>
      <c r="E31" s="23"/>
      <c r="F31" s="23"/>
    </row>
    <row r="32" ht="40" customHeight="1" spans="1:6">
      <c r="A32" s="6" t="s">
        <v>1268</v>
      </c>
      <c r="B32" s="23">
        <f>COUNTIF('03 诊断评分'!P6:P89,"资料已判定")</f>
        <v>0</v>
      </c>
      <c r="C32" s="23"/>
      <c r="D32" s="23"/>
      <c r="E32" s="23"/>
      <c r="F32" s="23"/>
    </row>
    <row r="33" ht="40" customHeight="1" spans="1:6">
      <c r="A33" s="6" t="s">
        <v>1269</v>
      </c>
      <c r="B33" s="23">
        <f>COUNTIF('03 诊断评分'!P6:P89,"已评分")</f>
        <v>72</v>
      </c>
      <c r="C33" s="23"/>
      <c r="D33" s="23"/>
      <c r="E33" s="23"/>
      <c r="F33" s="23"/>
    </row>
  </sheetData>
  <mergeCells count="18">
    <mergeCell ref="A1:K1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A2:K3"/>
  </mergeCells>
  <pageMargins left="0.7" right="0.7" top="0.75" bottom="0.75" header="0.3" footer="0.3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9"/>
  <sheetViews>
    <sheetView showGridLines="0" workbookViewId="0">
      <pane xSplit="3" ySplit="5" topLeftCell="D72" activePane="bottomRight" state="frozen"/>
      <selection/>
      <selection pane="topRight"/>
      <selection pane="bottomLeft"/>
      <selection pane="bottomRight" activeCell="F6" sqref="F6"/>
    </sheetView>
  </sheetViews>
  <sheetFormatPr defaultColWidth="9" defaultRowHeight="16.8"/>
  <cols>
    <col min="1" max="1" width="12" customWidth="1"/>
    <col min="2" max="2" width="23" customWidth="1"/>
    <col min="3" max="3" width="30" customWidth="1"/>
    <col min="4" max="4" width="12" customWidth="1"/>
    <col min="5" max="5" width="13" customWidth="1"/>
    <col min="6" max="6" width="12" customWidth="1"/>
    <col min="7" max="7" width="28" customWidth="1"/>
    <col min="8" max="8" width="30" customWidth="1"/>
    <col min="9" max="10" width="48" customWidth="1"/>
    <col min="11" max="11" width="54" customWidth="1"/>
    <col min="12" max="12" width="58" customWidth="1"/>
    <col min="13" max="13" width="18" customWidth="1"/>
    <col min="14" max="15" width="17" customWidth="1"/>
    <col min="16" max="16" width="32" customWidth="1"/>
    <col min="17" max="17" width="27" customWidth="1"/>
    <col min="18" max="18" width="18" customWidth="1"/>
  </cols>
  <sheetData>
    <row r="1" ht="38" customHeight="1" spans="1:18">
      <c r="A1" s="1" t="s">
        <v>1270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3" customHeight="1" spans="1:18">
      <c r="A2" s="2" t="s">
        <v>1271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3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42" customHeight="1" spans="1:18">
      <c r="A5" s="4" t="s">
        <v>86</v>
      </c>
      <c r="B5" s="4" t="s">
        <v>87</v>
      </c>
      <c r="C5" s="4" t="s">
        <v>1272</v>
      </c>
      <c r="D5" s="4" t="s">
        <v>1273</v>
      </c>
      <c r="E5" s="4" t="s">
        <v>1274</v>
      </c>
      <c r="F5" s="4" t="s">
        <v>1275</v>
      </c>
      <c r="G5" s="4" t="s">
        <v>1276</v>
      </c>
      <c r="H5" s="4" t="s">
        <v>1277</v>
      </c>
      <c r="I5" s="4" t="s">
        <v>99</v>
      </c>
      <c r="J5" s="4" t="s">
        <v>1278</v>
      </c>
      <c r="K5" s="4" t="s">
        <v>1279</v>
      </c>
      <c r="L5" s="4" t="s">
        <v>1280</v>
      </c>
      <c r="M5" s="4" t="s">
        <v>1281</v>
      </c>
      <c r="N5" s="4" t="s">
        <v>1282</v>
      </c>
      <c r="O5" s="4" t="s">
        <v>1283</v>
      </c>
      <c r="P5" s="4" t="s">
        <v>1284</v>
      </c>
      <c r="Q5" s="4" t="s">
        <v>1285</v>
      </c>
      <c r="R5" s="4" t="s">
        <v>1286</v>
      </c>
    </row>
    <row r="6" ht="133" customHeight="1" spans="1:18">
      <c r="A6" s="3" t="s">
        <v>101</v>
      </c>
      <c r="B6" s="3" t="s">
        <v>64</v>
      </c>
      <c r="C6" s="3" t="s">
        <v>102</v>
      </c>
      <c r="D6" s="9">
        <f>IF(OR(VLOOKUP(A6,'03 诊断评分'!$A$6:$X$89,16,FALSE)="已评分",VLOOKUP(A6,'03 诊断评分'!$A$6:$X$89,16,FALSE)="资料已判定"),VLOOKUP(A6,'03 诊断评分'!$A$6:$X$89,7,FALSE),"")</f>
        <v>1</v>
      </c>
      <c r="E6" s="9">
        <f>IF(VLOOKUP(A6,'03 诊断评分'!$A$6:$X$89,19,FALSE)="","",VLOOKUP(A6,'03 诊断评分'!$A$6:$X$89,8,FALSE))</f>
        <v>3</v>
      </c>
      <c r="F6" s="9">
        <f>IF(VLOOKUP(A6,'03 诊断评分'!$A$6:$X$89,19,FALSE)="","",VLOOKUP(A6,'03 诊断评分'!$A$6:$X$89,19,FALSE))</f>
        <v>2</v>
      </c>
      <c r="G6" s="9" t="str">
        <f>VLOOKUP(A6,'03 诊断评分'!$A$6:$X$89,20,FALSE)</f>
        <v>高：关键基础补齐</v>
      </c>
      <c r="H6" s="10"/>
      <c r="I6" s="3" t="s">
        <v>113</v>
      </c>
      <c r="J6" s="10" t="s">
        <v>1287</v>
      </c>
      <c r="K6" s="10" t="s">
        <v>1288</v>
      </c>
      <c r="L6" s="10" t="s">
        <v>1289</v>
      </c>
      <c r="M6" s="10"/>
      <c r="N6" s="11"/>
      <c r="O6" s="11"/>
      <c r="P6" s="10"/>
      <c r="Q6" s="10" t="s">
        <v>114</v>
      </c>
      <c r="R6" s="10" t="s">
        <v>1290</v>
      </c>
    </row>
    <row r="7" ht="133" customHeight="1" spans="1:18">
      <c r="A7" s="3" t="s">
        <v>115</v>
      </c>
      <c r="B7" s="3" t="s">
        <v>64</v>
      </c>
      <c r="C7" s="3" t="s">
        <v>116</v>
      </c>
      <c r="D7" s="9">
        <f>IF(OR(VLOOKUP(A7,'03 诊断评分'!$A$6:$X$89,16,FALSE)="已评分",VLOOKUP(A7,'03 诊断评分'!$A$6:$X$89,16,FALSE)="资料已判定"),VLOOKUP(A7,'03 诊断评分'!$A$6:$X$89,7,FALSE),"")</f>
        <v>1</v>
      </c>
      <c r="E7" s="9">
        <f>IF(VLOOKUP(A7,'03 诊断评分'!$A$6:$X$89,19,FALSE)="","",VLOOKUP(A7,'03 诊断评分'!$A$6:$X$89,8,FALSE))</f>
        <v>4</v>
      </c>
      <c r="F7" s="9">
        <f>IF(VLOOKUP(A7,'03 诊断评分'!$A$6:$X$89,19,FALSE)="","",VLOOKUP(A7,'03 诊断评分'!$A$6:$X$89,19,FALSE))</f>
        <v>3</v>
      </c>
      <c r="G7" s="9" t="str">
        <f>VLOOKUP(A7,'03 诊断评分'!$A$6:$X$89,20,FALSE)</f>
        <v>高：关键基础补齐</v>
      </c>
      <c r="H7" s="10" t="s">
        <v>1291</v>
      </c>
      <c r="I7" s="3" t="s">
        <v>124</v>
      </c>
      <c r="J7" s="10" t="s">
        <v>1287</v>
      </c>
      <c r="K7" s="10" t="s">
        <v>1292</v>
      </c>
      <c r="L7" s="10" t="s">
        <v>1293</v>
      </c>
      <c r="M7" s="10"/>
      <c r="N7" s="11"/>
      <c r="O7" s="11"/>
      <c r="P7" s="10"/>
      <c r="Q7" s="10" t="s">
        <v>114</v>
      </c>
      <c r="R7" s="10" t="s">
        <v>1294</v>
      </c>
    </row>
    <row r="8" ht="133" customHeight="1" spans="1:18">
      <c r="A8" s="3" t="s">
        <v>125</v>
      </c>
      <c r="B8" s="3" t="s">
        <v>64</v>
      </c>
      <c r="C8" s="3" t="s">
        <v>126</v>
      </c>
      <c r="D8" s="9">
        <f>IF(OR(VLOOKUP(A8,'03 诊断评分'!$A$6:$X$89,16,FALSE)="已评分",VLOOKUP(A8,'03 诊断评分'!$A$6:$X$89,16,FALSE)="资料已判定"),VLOOKUP(A8,'03 诊断评分'!$A$6:$X$89,7,FALSE),"")</f>
        <v>1</v>
      </c>
      <c r="E8" s="9">
        <f>IF(VLOOKUP(A8,'03 诊断评分'!$A$6:$X$89,19,FALSE)="","",VLOOKUP(A8,'03 诊断评分'!$A$6:$X$89,8,FALSE))</f>
        <v>4</v>
      </c>
      <c r="F8" s="9">
        <f>IF(VLOOKUP(A8,'03 诊断评分'!$A$6:$X$89,19,FALSE)="","",VLOOKUP(A8,'03 诊断评分'!$A$6:$X$89,19,FALSE))</f>
        <v>3</v>
      </c>
      <c r="G8" s="9" t="str">
        <f>VLOOKUP(A8,'03 诊断评分'!$A$6:$X$89,20,FALSE)</f>
        <v>高：关键基础补齐</v>
      </c>
      <c r="H8" s="10" t="s">
        <v>1291</v>
      </c>
      <c r="I8" s="3" t="s">
        <v>134</v>
      </c>
      <c r="J8" s="10" t="s">
        <v>1287</v>
      </c>
      <c r="K8" s="10" t="s">
        <v>1295</v>
      </c>
      <c r="L8" s="10" t="s">
        <v>1296</v>
      </c>
      <c r="M8" s="10"/>
      <c r="N8" s="11"/>
      <c r="O8" s="11"/>
      <c r="P8" s="10"/>
      <c r="Q8" s="10" t="s">
        <v>114</v>
      </c>
      <c r="R8" s="10" t="s">
        <v>1294</v>
      </c>
    </row>
    <row r="9" ht="133" customHeight="1" spans="1:18">
      <c r="A9" s="3" t="s">
        <v>135</v>
      </c>
      <c r="B9" s="3" t="s">
        <v>64</v>
      </c>
      <c r="C9" s="3" t="s">
        <v>136</v>
      </c>
      <c r="D9" s="9">
        <f>IF(OR(VLOOKUP(A9,'03 诊断评分'!$A$6:$X$89,16,FALSE)="已评分",VLOOKUP(A9,'03 诊断评分'!$A$6:$X$89,16,FALSE)="资料已判定"),VLOOKUP(A9,'03 诊断评分'!$A$6:$X$89,7,FALSE),"")</f>
        <v>2</v>
      </c>
      <c r="E9" s="9">
        <f>IF(VLOOKUP(A9,'03 诊断评分'!$A$6:$X$89,19,FALSE)="","",VLOOKUP(A9,'03 诊断评分'!$A$6:$X$89,8,FALSE))</f>
        <v>5</v>
      </c>
      <c r="F9" s="9">
        <f>IF(VLOOKUP(A9,'03 诊断评分'!$A$6:$X$89,19,FALSE)="","",VLOOKUP(A9,'03 诊断评分'!$A$6:$X$89,19,FALSE))</f>
        <v>3</v>
      </c>
      <c r="G9" s="9" t="str">
        <f>VLOOKUP(A9,'03 诊断评分'!$A$6:$X$89,20,FALSE)</f>
        <v>中：能力提升</v>
      </c>
      <c r="H9" s="10"/>
      <c r="I9" s="3" t="s">
        <v>146</v>
      </c>
      <c r="J9" s="10" t="s">
        <v>1287</v>
      </c>
      <c r="K9" s="10" t="s">
        <v>1297</v>
      </c>
      <c r="L9" s="10" t="s">
        <v>1298</v>
      </c>
      <c r="M9" s="10"/>
      <c r="N9" s="11"/>
      <c r="O9" s="11"/>
      <c r="P9" s="10"/>
      <c r="Q9" s="10" t="s">
        <v>114</v>
      </c>
      <c r="R9" s="10" t="s">
        <v>1290</v>
      </c>
    </row>
    <row r="10" ht="133" customHeight="1" spans="1:18">
      <c r="A10" s="3" t="s">
        <v>147</v>
      </c>
      <c r="B10" s="3" t="s">
        <v>64</v>
      </c>
      <c r="C10" s="3" t="s">
        <v>148</v>
      </c>
      <c r="D10" s="9">
        <f>IF(OR(VLOOKUP(A10,'03 诊断评分'!$A$6:$X$89,16,FALSE)="已评分",VLOOKUP(A10,'03 诊断评分'!$A$6:$X$89,16,FALSE)="资料已判定"),VLOOKUP(A10,'03 诊断评分'!$A$6:$X$89,7,FALSE),"")</f>
        <v>2</v>
      </c>
      <c r="E10" s="9">
        <f>IF(VLOOKUP(A10,'03 诊断评分'!$A$6:$X$89,19,FALSE)="","",VLOOKUP(A10,'03 诊断评分'!$A$6:$X$89,8,FALSE))</f>
        <v>5</v>
      </c>
      <c r="F10" s="9">
        <f>IF(VLOOKUP(A10,'03 诊断评分'!$A$6:$X$89,19,FALSE)="","",VLOOKUP(A10,'03 诊断评分'!$A$6:$X$89,19,FALSE))</f>
        <v>3</v>
      </c>
      <c r="G10" s="9" t="str">
        <f>VLOOKUP(A10,'03 诊断评分'!$A$6:$X$89,20,FALSE)</f>
        <v>高：业务改善</v>
      </c>
      <c r="H10" s="10" t="s">
        <v>1291</v>
      </c>
      <c r="I10" s="3" t="s">
        <v>156</v>
      </c>
      <c r="J10" s="10" t="s">
        <v>1287</v>
      </c>
      <c r="K10" s="10" t="s">
        <v>1299</v>
      </c>
      <c r="L10" s="10" t="s">
        <v>1300</v>
      </c>
      <c r="M10" s="10"/>
      <c r="N10" s="11"/>
      <c r="O10" s="11"/>
      <c r="P10" s="10"/>
      <c r="Q10" s="10" t="s">
        <v>114</v>
      </c>
      <c r="R10" s="10" t="s">
        <v>1294</v>
      </c>
    </row>
    <row r="11" ht="133" customHeight="1" spans="1:18">
      <c r="A11" s="3" t="s">
        <v>157</v>
      </c>
      <c r="B11" s="3" t="s">
        <v>64</v>
      </c>
      <c r="C11" s="3" t="s">
        <v>158</v>
      </c>
      <c r="D11" s="9">
        <f>IF(OR(VLOOKUP(A11,'03 诊断评分'!$A$6:$X$89,16,FALSE)="已评分",VLOOKUP(A11,'03 诊断评分'!$A$6:$X$89,16,FALSE)="资料已判定"),VLOOKUP(A11,'03 诊断评分'!$A$6:$X$89,7,FALSE),"")</f>
        <v>1</v>
      </c>
      <c r="E11" s="9">
        <f>IF(VLOOKUP(A11,'03 诊断评分'!$A$6:$X$89,19,FALSE)="","",VLOOKUP(A11,'03 诊断评分'!$A$6:$X$89,8,FALSE))</f>
        <v>4</v>
      </c>
      <c r="F11" s="9">
        <f>IF(VLOOKUP(A11,'03 诊断评分'!$A$6:$X$89,19,FALSE)="","",VLOOKUP(A11,'03 诊断评分'!$A$6:$X$89,19,FALSE))</f>
        <v>3</v>
      </c>
      <c r="G11" s="9" t="str">
        <f>VLOOKUP(A11,'03 诊断评分'!$A$6:$X$89,20,FALSE)</f>
        <v>高：业务改善</v>
      </c>
      <c r="H11" s="10"/>
      <c r="I11" s="3" t="s">
        <v>167</v>
      </c>
      <c r="J11" s="10" t="s">
        <v>1287</v>
      </c>
      <c r="K11" s="10" t="s">
        <v>1301</v>
      </c>
      <c r="L11" s="10" t="s">
        <v>1302</v>
      </c>
      <c r="M11" s="10"/>
      <c r="N11" s="11"/>
      <c r="O11" s="11"/>
      <c r="P11" s="10"/>
      <c r="Q11" s="10" t="s">
        <v>114</v>
      </c>
      <c r="R11" s="10" t="s">
        <v>1290</v>
      </c>
    </row>
    <row r="12" ht="133" customHeight="1" spans="1:18">
      <c r="A12" s="3" t="s">
        <v>168</v>
      </c>
      <c r="B12" s="3" t="s">
        <v>64</v>
      </c>
      <c r="C12" s="3" t="s">
        <v>169</v>
      </c>
      <c r="D12" s="9">
        <f>IF(OR(VLOOKUP(A12,'03 诊断评分'!$A$6:$X$89,16,FALSE)="已评分",VLOOKUP(A12,'03 诊断评分'!$A$6:$X$89,16,FALSE)="资料已判定"),VLOOKUP(A12,'03 诊断评分'!$A$6:$X$89,7,FALSE),"")</f>
        <v>1</v>
      </c>
      <c r="E12" s="9">
        <f>IF(VLOOKUP(A12,'03 诊断评分'!$A$6:$X$89,19,FALSE)="","",VLOOKUP(A12,'03 诊断评分'!$A$6:$X$89,8,FALSE))</f>
        <v>5</v>
      </c>
      <c r="F12" s="9">
        <f>IF(VLOOKUP(A12,'03 诊断评分'!$A$6:$X$89,19,FALSE)="","",VLOOKUP(A12,'03 诊断评分'!$A$6:$X$89,19,FALSE))</f>
        <v>4</v>
      </c>
      <c r="G12" s="9" t="str">
        <f>VLOOKUP(A12,'03 诊断评分'!$A$6:$X$89,20,FALSE)</f>
        <v>中：能力提升</v>
      </c>
      <c r="H12" s="10"/>
      <c r="I12" s="3" t="s">
        <v>178</v>
      </c>
      <c r="J12" s="10" t="s">
        <v>1287</v>
      </c>
      <c r="K12" s="10" t="s">
        <v>1303</v>
      </c>
      <c r="L12" s="10" t="s">
        <v>1304</v>
      </c>
      <c r="M12" s="10"/>
      <c r="N12" s="11"/>
      <c r="O12" s="11"/>
      <c r="P12" s="10"/>
      <c r="Q12" s="10" t="s">
        <v>114</v>
      </c>
      <c r="R12" s="10" t="s">
        <v>1290</v>
      </c>
    </row>
    <row r="13" ht="133" customHeight="1" spans="1:18">
      <c r="A13" s="3" t="s">
        <v>179</v>
      </c>
      <c r="B13" s="3" t="s">
        <v>64</v>
      </c>
      <c r="C13" s="3" t="s">
        <v>180</v>
      </c>
      <c r="D13" s="9" t="str">
        <f>IF(OR(VLOOKUP(A13,'03 诊断评分'!$A$6:$X$89,16,FALSE)="已评分",VLOOKUP(A13,'03 诊断评分'!$A$6:$X$89,16,FALSE)="资料已判定"),VLOOKUP(A13,'03 诊断评分'!$A$6:$X$89,7,FALSE),"")</f>
        <v/>
      </c>
      <c r="E13" s="9" t="str">
        <f>IF(VLOOKUP(A13,'03 诊断评分'!$A$6:$X$89,19,FALSE)="","",VLOOKUP(A13,'03 诊断评分'!$A$6:$X$89,8,FALSE))</f>
        <v/>
      </c>
      <c r="F13" s="9" t="str">
        <f>IF(VLOOKUP(A13,'03 诊断评分'!$A$6:$X$89,19,FALSE)="","",VLOOKUP(A13,'03 诊断评分'!$A$6:$X$89,19,FALSE))</f>
        <v/>
      </c>
      <c r="G13" s="9" t="str">
        <f>VLOOKUP(A13,'03 诊断评分'!$A$6:$X$89,20,FALSE)</f>
        <v>不适用</v>
      </c>
      <c r="H13" s="10"/>
      <c r="I13" s="3" t="s">
        <v>189</v>
      </c>
      <c r="J13" s="10" t="s">
        <v>1287</v>
      </c>
      <c r="K13" s="10" t="s">
        <v>1305</v>
      </c>
      <c r="L13" s="10" t="s">
        <v>1306</v>
      </c>
      <c r="M13" s="10"/>
      <c r="N13" s="11"/>
      <c r="O13" s="11"/>
      <c r="P13" s="10"/>
      <c r="Q13" s="10" t="s">
        <v>114</v>
      </c>
      <c r="R13" s="10" t="s">
        <v>1290</v>
      </c>
    </row>
    <row r="14" ht="133" customHeight="1" spans="1:18">
      <c r="A14" s="3" t="s">
        <v>190</v>
      </c>
      <c r="B14" s="3" t="s">
        <v>66</v>
      </c>
      <c r="C14" s="3" t="s">
        <v>191</v>
      </c>
      <c r="D14" s="9">
        <f>IF(OR(VLOOKUP(A14,'03 诊断评分'!$A$6:$X$89,16,FALSE)="已评分",VLOOKUP(A14,'03 诊断评分'!$A$6:$X$89,16,FALSE)="资料已判定"),VLOOKUP(A14,'03 诊断评分'!$A$6:$X$89,7,FALSE),"")</f>
        <v>3</v>
      </c>
      <c r="E14" s="9">
        <f>IF(VLOOKUP(A14,'03 诊断评分'!$A$6:$X$89,19,FALSE)="","",VLOOKUP(A14,'03 诊断评分'!$A$6:$X$89,8,FALSE))</f>
        <v>5</v>
      </c>
      <c r="F14" s="9">
        <f>IF(VLOOKUP(A14,'03 诊断评分'!$A$6:$X$89,19,FALSE)="","",VLOOKUP(A14,'03 诊断评分'!$A$6:$X$89,19,FALSE))</f>
        <v>2</v>
      </c>
      <c r="G14" s="9" t="str">
        <f>VLOOKUP(A14,'03 诊断评分'!$A$6:$X$89,20,FALSE)</f>
        <v>高：业务改善</v>
      </c>
      <c r="H14" s="10" t="s">
        <v>1307</v>
      </c>
      <c r="I14" s="3" t="s">
        <v>201</v>
      </c>
      <c r="J14" s="10" t="s">
        <v>1308</v>
      </c>
      <c r="K14" s="10" t="s">
        <v>1309</v>
      </c>
      <c r="L14" s="10" t="s">
        <v>1310</v>
      </c>
      <c r="M14" s="10"/>
      <c r="N14" s="11"/>
      <c r="O14" s="11"/>
      <c r="P14" s="10"/>
      <c r="Q14" s="10" t="s">
        <v>114</v>
      </c>
      <c r="R14" s="10" t="s">
        <v>1294</v>
      </c>
    </row>
    <row r="15" ht="133" customHeight="1" spans="1:18">
      <c r="A15" s="3" t="s">
        <v>202</v>
      </c>
      <c r="B15" s="3" t="s">
        <v>66</v>
      </c>
      <c r="C15" s="3" t="s">
        <v>203</v>
      </c>
      <c r="D15" s="9">
        <f>IF(OR(VLOOKUP(A15,'03 诊断评分'!$A$6:$X$89,16,FALSE)="已评分",VLOOKUP(A15,'03 诊断评分'!$A$6:$X$89,16,FALSE)="资料已判定"),VLOOKUP(A15,'03 诊断评分'!$A$6:$X$89,7,FALSE),"")</f>
        <v>3</v>
      </c>
      <c r="E15" s="9">
        <f>IF(VLOOKUP(A15,'03 诊断评分'!$A$6:$X$89,19,FALSE)="","",VLOOKUP(A15,'03 诊断评分'!$A$6:$X$89,8,FALSE))</f>
        <v>5</v>
      </c>
      <c r="F15" s="9">
        <f>IF(VLOOKUP(A15,'03 诊断评分'!$A$6:$X$89,19,FALSE)="","",VLOOKUP(A15,'03 诊断评分'!$A$6:$X$89,19,FALSE))</f>
        <v>2</v>
      </c>
      <c r="G15" s="9" t="str">
        <f>VLOOKUP(A15,'03 诊断评分'!$A$6:$X$89,20,FALSE)</f>
        <v>高：业务改善</v>
      </c>
      <c r="H15" s="10" t="s">
        <v>1307</v>
      </c>
      <c r="I15" s="3" t="s">
        <v>212</v>
      </c>
      <c r="J15" s="10" t="s">
        <v>1308</v>
      </c>
      <c r="K15" s="10" t="s">
        <v>1311</v>
      </c>
      <c r="L15" s="10" t="s">
        <v>1312</v>
      </c>
      <c r="M15" s="10"/>
      <c r="N15" s="11"/>
      <c r="O15" s="11"/>
      <c r="P15" s="10"/>
      <c r="Q15" s="10" t="s">
        <v>114</v>
      </c>
      <c r="R15" s="10" t="s">
        <v>1294</v>
      </c>
    </row>
    <row r="16" ht="133" customHeight="1" spans="1:18">
      <c r="A16" s="3" t="s">
        <v>213</v>
      </c>
      <c r="B16" s="3" t="s">
        <v>66</v>
      </c>
      <c r="C16" s="3" t="s">
        <v>214</v>
      </c>
      <c r="D16" s="9">
        <f>IF(OR(VLOOKUP(A16,'03 诊断评分'!$A$6:$X$89,16,FALSE)="已评分",VLOOKUP(A16,'03 诊断评分'!$A$6:$X$89,16,FALSE)="资料已判定"),VLOOKUP(A16,'03 诊断评分'!$A$6:$X$89,7,FALSE),"")</f>
        <v>2</v>
      </c>
      <c r="E16" s="9">
        <f>IF(VLOOKUP(A16,'03 诊断评分'!$A$6:$X$89,19,FALSE)="","",VLOOKUP(A16,'03 诊断评分'!$A$6:$X$89,8,FALSE))</f>
        <v>3</v>
      </c>
      <c r="F16" s="9">
        <f>IF(VLOOKUP(A16,'03 诊断评分'!$A$6:$X$89,19,FALSE)="","",VLOOKUP(A16,'03 诊断评分'!$A$6:$X$89,19,FALSE))</f>
        <v>1</v>
      </c>
      <c r="G16" s="9" t="str">
        <f>VLOOKUP(A16,'03 诊断评分'!$A$6:$X$89,20,FALSE)</f>
        <v>高：业务改善</v>
      </c>
      <c r="H16" s="10" t="s">
        <v>1307</v>
      </c>
      <c r="I16" s="3" t="s">
        <v>223</v>
      </c>
      <c r="J16" s="10" t="s">
        <v>1308</v>
      </c>
      <c r="K16" s="10" t="s">
        <v>1313</v>
      </c>
      <c r="L16" s="10" t="s">
        <v>1314</v>
      </c>
      <c r="M16" s="10"/>
      <c r="N16" s="11"/>
      <c r="O16" s="11"/>
      <c r="P16" s="10"/>
      <c r="Q16" s="10" t="s">
        <v>114</v>
      </c>
      <c r="R16" s="10" t="s">
        <v>1294</v>
      </c>
    </row>
    <row r="17" ht="133" customHeight="1" spans="1:18">
      <c r="A17" s="3" t="s">
        <v>224</v>
      </c>
      <c r="B17" s="3" t="s">
        <v>66</v>
      </c>
      <c r="C17" s="3" t="s">
        <v>225</v>
      </c>
      <c r="D17" s="9">
        <f>IF(OR(VLOOKUP(A17,'03 诊断评分'!$A$6:$X$89,16,FALSE)="已评分",VLOOKUP(A17,'03 诊断评分'!$A$6:$X$89,16,FALSE)="资料已判定"),VLOOKUP(A17,'03 诊断评分'!$A$6:$X$89,7,FALSE),"")</f>
        <v>2</v>
      </c>
      <c r="E17" s="9">
        <f>IF(VLOOKUP(A17,'03 诊断评分'!$A$6:$X$89,19,FALSE)="","",VLOOKUP(A17,'03 诊断评分'!$A$6:$X$89,8,FALSE))</f>
        <v>3</v>
      </c>
      <c r="F17" s="9">
        <f>IF(VLOOKUP(A17,'03 诊断评分'!$A$6:$X$89,19,FALSE)="","",VLOOKUP(A17,'03 诊断评分'!$A$6:$X$89,19,FALSE))</f>
        <v>1</v>
      </c>
      <c r="G17" s="9" t="str">
        <f>VLOOKUP(A17,'03 诊断评分'!$A$6:$X$89,20,FALSE)</f>
        <v>高：关键基础补齐</v>
      </c>
      <c r="H17" s="10" t="s">
        <v>1307</v>
      </c>
      <c r="I17" s="3" t="s">
        <v>234</v>
      </c>
      <c r="J17" s="10" t="s">
        <v>1308</v>
      </c>
      <c r="K17" s="10" t="s">
        <v>1315</v>
      </c>
      <c r="L17" s="10" t="s">
        <v>1316</v>
      </c>
      <c r="M17" s="10"/>
      <c r="N17" s="11"/>
      <c r="O17" s="11"/>
      <c r="P17" s="10"/>
      <c r="Q17" s="10" t="s">
        <v>114</v>
      </c>
      <c r="R17" s="10" t="s">
        <v>1294</v>
      </c>
    </row>
    <row r="18" ht="133" customHeight="1" spans="1:18">
      <c r="A18" s="3" t="s">
        <v>235</v>
      </c>
      <c r="B18" s="3" t="s">
        <v>66</v>
      </c>
      <c r="C18" s="3" t="s">
        <v>236</v>
      </c>
      <c r="D18" s="9">
        <f>IF(OR(VLOOKUP(A18,'03 诊断评分'!$A$6:$X$89,16,FALSE)="已评分",VLOOKUP(A18,'03 诊断评分'!$A$6:$X$89,16,FALSE)="资料已判定"),VLOOKUP(A18,'03 诊断评分'!$A$6:$X$89,7,FALSE),"")</f>
        <v>2</v>
      </c>
      <c r="E18" s="9">
        <f>IF(VLOOKUP(A18,'03 诊断评分'!$A$6:$X$89,19,FALSE)="","",VLOOKUP(A18,'03 诊断评分'!$A$6:$X$89,8,FALSE))</f>
        <v>4</v>
      </c>
      <c r="F18" s="9">
        <f>IF(VLOOKUP(A18,'03 诊断评分'!$A$6:$X$89,19,FALSE)="","",VLOOKUP(A18,'03 诊断评分'!$A$6:$X$89,19,FALSE))</f>
        <v>2</v>
      </c>
      <c r="G18" s="9" t="str">
        <f>VLOOKUP(A18,'03 诊断评分'!$A$6:$X$89,20,FALSE)</f>
        <v>高：关键基础补齐</v>
      </c>
      <c r="H18" s="10" t="s">
        <v>1307</v>
      </c>
      <c r="I18" s="3" t="s">
        <v>245</v>
      </c>
      <c r="J18" s="10" t="s">
        <v>1308</v>
      </c>
      <c r="K18" s="10" t="s">
        <v>1317</v>
      </c>
      <c r="L18" s="10" t="s">
        <v>1318</v>
      </c>
      <c r="M18" s="10"/>
      <c r="N18" s="11"/>
      <c r="O18" s="11"/>
      <c r="P18" s="10"/>
      <c r="Q18" s="10" t="s">
        <v>114</v>
      </c>
      <c r="R18" s="10" t="s">
        <v>1294</v>
      </c>
    </row>
    <row r="19" ht="133" customHeight="1" spans="1:18">
      <c r="A19" s="3" t="s">
        <v>246</v>
      </c>
      <c r="B19" s="3" t="s">
        <v>66</v>
      </c>
      <c r="C19" s="3" t="s">
        <v>247</v>
      </c>
      <c r="D19" s="9">
        <f>IF(OR(VLOOKUP(A19,'03 诊断评分'!$A$6:$X$89,16,FALSE)="已评分",VLOOKUP(A19,'03 诊断评分'!$A$6:$X$89,16,FALSE)="资料已判定"),VLOOKUP(A19,'03 诊断评分'!$A$6:$X$89,7,FALSE),"")</f>
        <v>2</v>
      </c>
      <c r="E19" s="9">
        <f>IF(VLOOKUP(A19,'03 诊断评分'!$A$6:$X$89,19,FALSE)="","",VLOOKUP(A19,'03 诊断评分'!$A$6:$X$89,8,FALSE))</f>
        <v>3</v>
      </c>
      <c r="F19" s="9">
        <f>IF(VLOOKUP(A19,'03 诊断评分'!$A$6:$X$89,19,FALSE)="","",VLOOKUP(A19,'03 诊断评分'!$A$6:$X$89,19,FALSE))</f>
        <v>1</v>
      </c>
      <c r="G19" s="9" t="str">
        <f>VLOOKUP(A19,'03 诊断评分'!$A$6:$X$89,20,FALSE)</f>
        <v>高：关键基础补齐</v>
      </c>
      <c r="H19" s="10" t="s">
        <v>1307</v>
      </c>
      <c r="I19" s="3" t="s">
        <v>256</v>
      </c>
      <c r="J19" s="10" t="s">
        <v>1308</v>
      </c>
      <c r="K19" s="10" t="s">
        <v>1319</v>
      </c>
      <c r="L19" s="10" t="s">
        <v>1320</v>
      </c>
      <c r="M19" s="10"/>
      <c r="N19" s="11"/>
      <c r="O19" s="11"/>
      <c r="P19" s="10"/>
      <c r="Q19" s="10" t="s">
        <v>114</v>
      </c>
      <c r="R19" s="10" t="s">
        <v>1294</v>
      </c>
    </row>
    <row r="20" ht="133" customHeight="1" spans="1:18">
      <c r="A20" s="3" t="s">
        <v>257</v>
      </c>
      <c r="B20" s="3" t="s">
        <v>66</v>
      </c>
      <c r="C20" s="3" t="s">
        <v>258</v>
      </c>
      <c r="D20" s="9">
        <f>IF(OR(VLOOKUP(A20,'03 诊断评分'!$A$6:$X$89,16,FALSE)="已评分",VLOOKUP(A20,'03 诊断评分'!$A$6:$X$89,16,FALSE)="资料已判定"),VLOOKUP(A20,'03 诊断评分'!$A$6:$X$89,7,FALSE),"")</f>
        <v>1</v>
      </c>
      <c r="E20" s="9">
        <f>IF(VLOOKUP(A20,'03 诊断评分'!$A$6:$X$89,19,FALSE)="","",VLOOKUP(A20,'03 诊断评分'!$A$6:$X$89,8,FALSE))</f>
        <v>3</v>
      </c>
      <c r="F20" s="9">
        <f>IF(VLOOKUP(A20,'03 诊断评分'!$A$6:$X$89,19,FALSE)="","",VLOOKUP(A20,'03 诊断评分'!$A$6:$X$89,19,FALSE))</f>
        <v>2</v>
      </c>
      <c r="G20" s="9" t="str">
        <f>VLOOKUP(A20,'03 诊断评分'!$A$6:$X$89,20,FALSE)</f>
        <v>中：能力提升</v>
      </c>
      <c r="H20" s="10" t="s">
        <v>1307</v>
      </c>
      <c r="I20" s="3" t="s">
        <v>267</v>
      </c>
      <c r="J20" s="10" t="s">
        <v>1308</v>
      </c>
      <c r="K20" s="10" t="s">
        <v>1321</v>
      </c>
      <c r="L20" s="10" t="s">
        <v>1322</v>
      </c>
      <c r="M20" s="10"/>
      <c r="N20" s="11"/>
      <c r="O20" s="11"/>
      <c r="P20" s="10"/>
      <c r="Q20" s="10" t="s">
        <v>114</v>
      </c>
      <c r="R20" s="10" t="s">
        <v>1294</v>
      </c>
    </row>
    <row r="21" ht="133" customHeight="1" spans="1:18">
      <c r="A21" s="3" t="s">
        <v>268</v>
      </c>
      <c r="B21" s="3" t="s">
        <v>66</v>
      </c>
      <c r="C21" s="3" t="s">
        <v>269</v>
      </c>
      <c r="D21" s="9">
        <f>IF(OR(VLOOKUP(A21,'03 诊断评分'!$A$6:$X$89,16,FALSE)="已评分",VLOOKUP(A21,'03 诊断评分'!$A$6:$X$89,16,FALSE)="资料已判定"),VLOOKUP(A21,'03 诊断评分'!$A$6:$X$89,7,FALSE),"")</f>
        <v>1</v>
      </c>
      <c r="E21" s="9">
        <f>IF(VLOOKUP(A21,'03 诊断评分'!$A$6:$X$89,19,FALSE)="","",VLOOKUP(A21,'03 诊断评分'!$A$6:$X$89,8,FALSE))</f>
        <v>3</v>
      </c>
      <c r="F21" s="9">
        <f>IF(VLOOKUP(A21,'03 诊断评分'!$A$6:$X$89,19,FALSE)="","",VLOOKUP(A21,'03 诊断评分'!$A$6:$X$89,19,FALSE))</f>
        <v>2</v>
      </c>
      <c r="G21" s="9" t="str">
        <f>VLOOKUP(A21,'03 诊断评分'!$A$6:$X$89,20,FALSE)</f>
        <v>中：能力提升</v>
      </c>
      <c r="H21" s="10" t="s">
        <v>1307</v>
      </c>
      <c r="I21" s="3" t="s">
        <v>278</v>
      </c>
      <c r="J21" s="10" t="s">
        <v>1308</v>
      </c>
      <c r="K21" s="10" t="s">
        <v>1323</v>
      </c>
      <c r="L21" s="10" t="s">
        <v>1324</v>
      </c>
      <c r="M21" s="10"/>
      <c r="N21" s="11"/>
      <c r="O21" s="11"/>
      <c r="P21" s="10"/>
      <c r="Q21" s="10" t="s">
        <v>114</v>
      </c>
      <c r="R21" s="10" t="s">
        <v>1294</v>
      </c>
    </row>
    <row r="22" ht="133" customHeight="1" spans="1:18">
      <c r="A22" s="3" t="s">
        <v>279</v>
      </c>
      <c r="B22" s="3" t="s">
        <v>67</v>
      </c>
      <c r="C22" s="3" t="s">
        <v>280</v>
      </c>
      <c r="D22" s="9">
        <f>IF(OR(VLOOKUP(A22,'03 诊断评分'!$A$6:$X$89,16,FALSE)="已评分",VLOOKUP(A22,'03 诊断评分'!$A$6:$X$89,16,FALSE)="资料已判定"),VLOOKUP(A22,'03 诊断评分'!$A$6:$X$89,7,FALSE),"")</f>
        <v>1</v>
      </c>
      <c r="E22" s="9">
        <f>IF(VLOOKUP(A22,'03 诊断评分'!$A$6:$X$89,19,FALSE)="","",VLOOKUP(A22,'03 诊断评分'!$A$6:$X$89,8,FALSE))</f>
        <v>3</v>
      </c>
      <c r="F22" s="9">
        <f>IF(VLOOKUP(A22,'03 诊断评分'!$A$6:$X$89,19,FALSE)="","",VLOOKUP(A22,'03 诊断评分'!$A$6:$X$89,19,FALSE))</f>
        <v>2</v>
      </c>
      <c r="G22" s="9" t="str">
        <f>VLOOKUP(A22,'03 诊断评分'!$A$6:$X$89,20,FALSE)</f>
        <v>高：关键基础补齐</v>
      </c>
      <c r="H22" s="10"/>
      <c r="I22" s="3" t="s">
        <v>290</v>
      </c>
      <c r="J22" s="10" t="s">
        <v>1325</v>
      </c>
      <c r="K22" s="10" t="s">
        <v>1326</v>
      </c>
      <c r="L22" s="10" t="s">
        <v>1327</v>
      </c>
      <c r="M22" s="10"/>
      <c r="N22" s="11"/>
      <c r="O22" s="11"/>
      <c r="P22" s="10"/>
      <c r="Q22" s="10" t="s">
        <v>291</v>
      </c>
      <c r="R22" s="10" t="s">
        <v>1290</v>
      </c>
    </row>
    <row r="23" ht="133" customHeight="1" spans="1:18">
      <c r="A23" s="3" t="s">
        <v>292</v>
      </c>
      <c r="B23" s="3" t="s">
        <v>67</v>
      </c>
      <c r="C23" s="3" t="s">
        <v>293</v>
      </c>
      <c r="D23" s="9">
        <f>IF(OR(VLOOKUP(A23,'03 诊断评分'!$A$6:$X$89,16,FALSE)="已评分",VLOOKUP(A23,'03 诊断评分'!$A$6:$X$89,16,FALSE)="资料已判定"),VLOOKUP(A23,'03 诊断评分'!$A$6:$X$89,7,FALSE),"")</f>
        <v>1</v>
      </c>
      <c r="E23" s="9">
        <f>IF(VLOOKUP(A23,'03 诊断评分'!$A$6:$X$89,19,FALSE)="","",VLOOKUP(A23,'03 诊断评分'!$A$6:$X$89,8,FALSE))</f>
        <v>3</v>
      </c>
      <c r="F23" s="9">
        <f>IF(VLOOKUP(A23,'03 诊断评分'!$A$6:$X$89,19,FALSE)="","",VLOOKUP(A23,'03 诊断评分'!$A$6:$X$89,19,FALSE))</f>
        <v>2</v>
      </c>
      <c r="G23" s="9" t="str">
        <f>VLOOKUP(A23,'03 诊断评分'!$A$6:$X$89,20,FALSE)</f>
        <v>高：业务改善</v>
      </c>
      <c r="H23" s="10" t="s">
        <v>1328</v>
      </c>
      <c r="I23" s="3" t="s">
        <v>302</v>
      </c>
      <c r="J23" s="10" t="s">
        <v>1325</v>
      </c>
      <c r="K23" s="10" t="s">
        <v>1329</v>
      </c>
      <c r="L23" s="10" t="s">
        <v>1330</v>
      </c>
      <c r="M23" s="10"/>
      <c r="N23" s="11"/>
      <c r="O23" s="11"/>
      <c r="P23" s="10"/>
      <c r="Q23" s="10" t="s">
        <v>291</v>
      </c>
      <c r="R23" s="10" t="s">
        <v>1294</v>
      </c>
    </row>
    <row r="24" ht="133" customHeight="1" spans="1:18">
      <c r="A24" s="3" t="s">
        <v>303</v>
      </c>
      <c r="B24" s="3" t="s">
        <v>67</v>
      </c>
      <c r="C24" s="3" t="s">
        <v>304</v>
      </c>
      <c r="D24" s="9">
        <f>IF(OR(VLOOKUP(A24,'03 诊断评分'!$A$6:$X$89,16,FALSE)="已评分",VLOOKUP(A24,'03 诊断评分'!$A$6:$X$89,16,FALSE)="资料已判定"),VLOOKUP(A24,'03 诊断评分'!$A$6:$X$89,7,FALSE),"")</f>
        <v>1</v>
      </c>
      <c r="E24" s="9">
        <f>IF(VLOOKUP(A24,'03 诊断评分'!$A$6:$X$89,19,FALSE)="","",VLOOKUP(A24,'03 诊断评分'!$A$6:$X$89,8,FALSE))</f>
        <v>4</v>
      </c>
      <c r="F24" s="9">
        <f>IF(VLOOKUP(A24,'03 诊断评分'!$A$6:$X$89,19,FALSE)="","",VLOOKUP(A24,'03 诊断评分'!$A$6:$X$89,19,FALSE))</f>
        <v>3</v>
      </c>
      <c r="G24" s="9" t="str">
        <f>VLOOKUP(A24,'03 诊断评分'!$A$6:$X$89,20,FALSE)</f>
        <v>高：关键基础补齐</v>
      </c>
      <c r="H24" s="10" t="s">
        <v>1328</v>
      </c>
      <c r="I24" s="3" t="s">
        <v>313</v>
      </c>
      <c r="J24" s="10" t="s">
        <v>1325</v>
      </c>
      <c r="K24" s="10" t="s">
        <v>1331</v>
      </c>
      <c r="L24" s="10" t="s">
        <v>1332</v>
      </c>
      <c r="M24" s="10"/>
      <c r="N24" s="11"/>
      <c r="O24" s="11"/>
      <c r="P24" s="10"/>
      <c r="Q24" s="10" t="s">
        <v>291</v>
      </c>
      <c r="R24" s="10" t="s">
        <v>1294</v>
      </c>
    </row>
    <row r="25" ht="133" customHeight="1" spans="1:18">
      <c r="A25" s="3" t="s">
        <v>314</v>
      </c>
      <c r="B25" s="3" t="s">
        <v>67</v>
      </c>
      <c r="C25" s="3" t="s">
        <v>315</v>
      </c>
      <c r="D25" s="9" t="str">
        <f>IF(OR(VLOOKUP(A25,'03 诊断评分'!$A$6:$X$89,16,FALSE)="已评分",VLOOKUP(A25,'03 诊断评分'!$A$6:$X$89,16,FALSE)="资料已判定"),VLOOKUP(A25,'03 诊断评分'!$A$6:$X$89,7,FALSE),"")</f>
        <v/>
      </c>
      <c r="E25" s="9" t="str">
        <f>IF(VLOOKUP(A25,'03 诊断评分'!$A$6:$X$89,19,FALSE)="","",VLOOKUP(A25,'03 诊断评分'!$A$6:$X$89,8,FALSE))</f>
        <v/>
      </c>
      <c r="F25" s="9" t="str">
        <f>IF(VLOOKUP(A25,'03 诊断评分'!$A$6:$X$89,19,FALSE)="","",VLOOKUP(A25,'03 诊断评分'!$A$6:$X$89,19,FALSE))</f>
        <v/>
      </c>
      <c r="G25" s="9" t="str">
        <f>VLOOKUP(A25,'03 诊断评分'!$A$6:$X$89,20,FALSE)</f>
        <v>不适用</v>
      </c>
      <c r="H25" s="10"/>
      <c r="I25" s="3" t="s">
        <v>324</v>
      </c>
      <c r="J25" s="10" t="s">
        <v>1325</v>
      </c>
      <c r="K25" s="10" t="s">
        <v>1333</v>
      </c>
      <c r="L25" s="10" t="s">
        <v>1334</v>
      </c>
      <c r="M25" s="10"/>
      <c r="N25" s="11"/>
      <c r="O25" s="11"/>
      <c r="P25" s="10"/>
      <c r="Q25" s="10" t="s">
        <v>291</v>
      </c>
      <c r="R25" s="10" t="s">
        <v>1290</v>
      </c>
    </row>
    <row r="26" ht="133" customHeight="1" spans="1:18">
      <c r="A26" s="3" t="s">
        <v>325</v>
      </c>
      <c r="B26" s="3" t="s">
        <v>67</v>
      </c>
      <c r="C26" s="3" t="s">
        <v>326</v>
      </c>
      <c r="D26" s="9">
        <f>IF(OR(VLOOKUP(A26,'03 诊断评分'!$A$6:$X$89,16,FALSE)="已评分",VLOOKUP(A26,'03 诊断评分'!$A$6:$X$89,16,FALSE)="资料已判定"),VLOOKUP(A26,'03 诊断评分'!$A$6:$X$89,7,FALSE),"")</f>
        <v>2</v>
      </c>
      <c r="E26" s="9">
        <f>IF(VLOOKUP(A26,'03 诊断评分'!$A$6:$X$89,19,FALSE)="","",VLOOKUP(A26,'03 诊断评分'!$A$6:$X$89,8,FALSE))</f>
        <v>3</v>
      </c>
      <c r="F26" s="9">
        <f>IF(VLOOKUP(A26,'03 诊断评分'!$A$6:$X$89,19,FALSE)="","",VLOOKUP(A26,'03 诊断评分'!$A$6:$X$89,19,FALSE))</f>
        <v>1</v>
      </c>
      <c r="G26" s="9" t="str">
        <f>VLOOKUP(A26,'03 诊断评分'!$A$6:$X$89,20,FALSE)</f>
        <v>高：关键基础补齐</v>
      </c>
      <c r="H26" s="10" t="s">
        <v>1328</v>
      </c>
      <c r="I26" s="3" t="s">
        <v>335</v>
      </c>
      <c r="J26" s="10" t="s">
        <v>1325</v>
      </c>
      <c r="K26" s="10" t="s">
        <v>1335</v>
      </c>
      <c r="L26" s="10" t="s">
        <v>1336</v>
      </c>
      <c r="M26" s="10"/>
      <c r="N26" s="11"/>
      <c r="O26" s="11"/>
      <c r="P26" s="10"/>
      <c r="Q26" s="10" t="s">
        <v>291</v>
      </c>
      <c r="R26" s="10" t="s">
        <v>1294</v>
      </c>
    </row>
    <row r="27" ht="133" customHeight="1" spans="1:18">
      <c r="A27" s="3" t="s">
        <v>336</v>
      </c>
      <c r="B27" s="3" t="s">
        <v>67</v>
      </c>
      <c r="C27" s="3" t="s">
        <v>337</v>
      </c>
      <c r="D27" s="9">
        <f>IF(OR(VLOOKUP(A27,'03 诊断评分'!$A$6:$X$89,16,FALSE)="已评分",VLOOKUP(A27,'03 诊断评分'!$A$6:$X$89,16,FALSE)="资料已判定"),VLOOKUP(A27,'03 诊断评分'!$A$6:$X$89,7,FALSE),"")</f>
        <v>2</v>
      </c>
      <c r="E27" s="9">
        <f>IF(VLOOKUP(A27,'03 诊断评分'!$A$6:$X$89,19,FALSE)="","",VLOOKUP(A27,'03 诊断评分'!$A$6:$X$89,8,FALSE))</f>
        <v>3</v>
      </c>
      <c r="F27" s="9">
        <f>IF(VLOOKUP(A27,'03 诊断评分'!$A$6:$X$89,19,FALSE)="","",VLOOKUP(A27,'03 诊断评分'!$A$6:$X$89,19,FALSE))</f>
        <v>1</v>
      </c>
      <c r="G27" s="9" t="str">
        <f>VLOOKUP(A27,'03 诊断评分'!$A$6:$X$89,20,FALSE)</f>
        <v>高：业务改善</v>
      </c>
      <c r="H27" s="10" t="s">
        <v>1328</v>
      </c>
      <c r="I27" s="3" t="s">
        <v>345</v>
      </c>
      <c r="J27" s="10" t="s">
        <v>1325</v>
      </c>
      <c r="K27" s="10" t="s">
        <v>1337</v>
      </c>
      <c r="L27" s="10" t="s">
        <v>1338</v>
      </c>
      <c r="M27" s="10"/>
      <c r="N27" s="11"/>
      <c r="O27" s="11"/>
      <c r="P27" s="10"/>
      <c r="Q27" s="10" t="s">
        <v>291</v>
      </c>
      <c r="R27" s="10" t="s">
        <v>1294</v>
      </c>
    </row>
    <row r="28" ht="133" customHeight="1" spans="1:18">
      <c r="A28" s="3" t="s">
        <v>346</v>
      </c>
      <c r="B28" s="3" t="s">
        <v>67</v>
      </c>
      <c r="C28" s="3" t="s">
        <v>347</v>
      </c>
      <c r="D28" s="9">
        <f>IF(OR(VLOOKUP(A28,'03 诊断评分'!$A$6:$X$89,16,FALSE)="已评分",VLOOKUP(A28,'03 诊断评分'!$A$6:$X$89,16,FALSE)="资料已判定"),VLOOKUP(A28,'03 诊断评分'!$A$6:$X$89,7,FALSE),"")</f>
        <v>0</v>
      </c>
      <c r="E28" s="9">
        <f>IF(VLOOKUP(A28,'03 诊断评分'!$A$6:$X$89,19,FALSE)="","",VLOOKUP(A28,'03 诊断评分'!$A$6:$X$89,8,FALSE))</f>
        <v>2</v>
      </c>
      <c r="F28" s="9">
        <f>IF(VLOOKUP(A28,'03 诊断评分'!$A$6:$X$89,19,FALSE)="","",VLOOKUP(A28,'03 诊断评分'!$A$6:$X$89,19,FALSE))</f>
        <v>2</v>
      </c>
      <c r="G28" s="9" t="str">
        <f>VLOOKUP(A28,'03 诊断评分'!$A$6:$X$89,20,FALSE)</f>
        <v>高：关键基础补齐</v>
      </c>
      <c r="H28" s="10" t="s">
        <v>1328</v>
      </c>
      <c r="I28" s="3" t="s">
        <v>356</v>
      </c>
      <c r="J28" s="10" t="s">
        <v>1325</v>
      </c>
      <c r="K28" s="10" t="s">
        <v>1339</v>
      </c>
      <c r="L28" s="10" t="s">
        <v>1340</v>
      </c>
      <c r="M28" s="10"/>
      <c r="N28" s="11"/>
      <c r="O28" s="11"/>
      <c r="P28" s="10"/>
      <c r="Q28" s="10" t="s">
        <v>291</v>
      </c>
      <c r="R28" s="10" t="s">
        <v>1294</v>
      </c>
    </row>
    <row r="29" ht="133" customHeight="1" spans="1:18">
      <c r="A29" s="3" t="s">
        <v>357</v>
      </c>
      <c r="B29" s="3" t="s">
        <v>67</v>
      </c>
      <c r="C29" s="3" t="s">
        <v>358</v>
      </c>
      <c r="D29" s="9">
        <f>IF(OR(VLOOKUP(A29,'03 诊断评分'!$A$6:$X$89,16,FALSE)="已评分",VLOOKUP(A29,'03 诊断评分'!$A$6:$X$89,16,FALSE)="资料已判定"),VLOOKUP(A29,'03 诊断评分'!$A$6:$X$89,7,FALSE),"")</f>
        <v>2</v>
      </c>
      <c r="E29" s="9">
        <f>IF(VLOOKUP(A29,'03 诊断评分'!$A$6:$X$89,19,FALSE)="","",VLOOKUP(A29,'03 诊断评分'!$A$6:$X$89,8,FALSE))</f>
        <v>4</v>
      </c>
      <c r="F29" s="9">
        <f>IF(VLOOKUP(A29,'03 诊断评分'!$A$6:$X$89,19,FALSE)="","",VLOOKUP(A29,'03 诊断评分'!$A$6:$X$89,19,FALSE))</f>
        <v>2</v>
      </c>
      <c r="G29" s="9" t="str">
        <f>VLOOKUP(A29,'03 诊断评分'!$A$6:$X$89,20,FALSE)</f>
        <v>高：业务改善</v>
      </c>
      <c r="H29" s="10" t="s">
        <v>1328</v>
      </c>
      <c r="I29" s="3" t="s">
        <v>367</v>
      </c>
      <c r="J29" s="10" t="s">
        <v>1325</v>
      </c>
      <c r="K29" s="10" t="s">
        <v>1341</v>
      </c>
      <c r="L29" s="10" t="s">
        <v>1342</v>
      </c>
      <c r="M29" s="10"/>
      <c r="N29" s="11"/>
      <c r="O29" s="11"/>
      <c r="P29" s="10"/>
      <c r="Q29" s="10" t="s">
        <v>291</v>
      </c>
      <c r="R29" s="10" t="s">
        <v>1294</v>
      </c>
    </row>
    <row r="30" ht="133" customHeight="1" spans="1:18">
      <c r="A30" s="3" t="s">
        <v>368</v>
      </c>
      <c r="B30" s="3" t="s">
        <v>68</v>
      </c>
      <c r="C30" s="3" t="s">
        <v>369</v>
      </c>
      <c r="D30" s="9">
        <f>IF(OR(VLOOKUP(A30,'03 诊断评分'!$A$6:$X$89,16,FALSE)="已评分",VLOOKUP(A30,'03 诊断评分'!$A$6:$X$89,16,FALSE)="资料已判定"),VLOOKUP(A30,'03 诊断评分'!$A$6:$X$89,7,FALSE),"")</f>
        <v>2</v>
      </c>
      <c r="E30" s="9">
        <f>IF(VLOOKUP(A30,'03 诊断评分'!$A$6:$X$89,19,FALSE)="","",VLOOKUP(A30,'03 诊断评分'!$A$6:$X$89,8,FALSE))</f>
        <v>5</v>
      </c>
      <c r="F30" s="9">
        <f>IF(VLOOKUP(A30,'03 诊断评分'!$A$6:$X$89,19,FALSE)="","",VLOOKUP(A30,'03 诊断评分'!$A$6:$X$89,19,FALSE))</f>
        <v>3</v>
      </c>
      <c r="G30" s="9" t="str">
        <f>VLOOKUP(A30,'03 诊断评分'!$A$6:$X$89,20,FALSE)</f>
        <v>高：关键基础补齐</v>
      </c>
      <c r="H30" s="10" t="s">
        <v>1343</v>
      </c>
      <c r="I30" s="3" t="s">
        <v>379</v>
      </c>
      <c r="J30" s="10" t="s">
        <v>1344</v>
      </c>
      <c r="K30" s="10" t="s">
        <v>1345</v>
      </c>
      <c r="L30" s="10" t="s">
        <v>1346</v>
      </c>
      <c r="M30" s="10"/>
      <c r="N30" s="11"/>
      <c r="O30" s="11"/>
      <c r="P30" s="10"/>
      <c r="Q30" s="10" t="s">
        <v>291</v>
      </c>
      <c r="R30" s="10" t="s">
        <v>1294</v>
      </c>
    </row>
    <row r="31" ht="133" customHeight="1" spans="1:18">
      <c r="A31" s="3" t="s">
        <v>380</v>
      </c>
      <c r="B31" s="3" t="s">
        <v>68</v>
      </c>
      <c r="C31" s="3" t="s">
        <v>381</v>
      </c>
      <c r="D31" s="9">
        <f>IF(OR(VLOOKUP(A31,'03 诊断评分'!$A$6:$X$89,16,FALSE)="已评分",VLOOKUP(A31,'03 诊断评分'!$A$6:$X$89,16,FALSE)="资料已判定"),VLOOKUP(A31,'03 诊断评分'!$A$6:$X$89,7,FALSE),"")</f>
        <v>1</v>
      </c>
      <c r="E31" s="9">
        <f>IF(VLOOKUP(A31,'03 诊断评分'!$A$6:$X$89,19,FALSE)="","",VLOOKUP(A31,'03 诊断评分'!$A$6:$X$89,8,FALSE))</f>
        <v>4</v>
      </c>
      <c r="F31" s="9">
        <f>IF(VLOOKUP(A31,'03 诊断评分'!$A$6:$X$89,19,FALSE)="","",VLOOKUP(A31,'03 诊断评分'!$A$6:$X$89,19,FALSE))</f>
        <v>3</v>
      </c>
      <c r="G31" s="9" t="str">
        <f>VLOOKUP(A31,'03 诊断评分'!$A$6:$X$89,20,FALSE)</f>
        <v>高：关键基础补齐</v>
      </c>
      <c r="H31" s="10" t="s">
        <v>1343</v>
      </c>
      <c r="I31" s="3" t="s">
        <v>389</v>
      </c>
      <c r="J31" s="10" t="s">
        <v>1344</v>
      </c>
      <c r="K31" s="10" t="s">
        <v>1347</v>
      </c>
      <c r="L31" s="10" t="s">
        <v>1348</v>
      </c>
      <c r="M31" s="10"/>
      <c r="N31" s="11"/>
      <c r="O31" s="11"/>
      <c r="P31" s="10"/>
      <c r="Q31" s="10" t="s">
        <v>291</v>
      </c>
      <c r="R31" s="10" t="s">
        <v>1294</v>
      </c>
    </row>
    <row r="32" ht="133" customHeight="1" spans="1:18">
      <c r="A32" s="3" t="s">
        <v>390</v>
      </c>
      <c r="B32" s="3" t="s">
        <v>68</v>
      </c>
      <c r="C32" s="3" t="s">
        <v>391</v>
      </c>
      <c r="D32" s="9">
        <f>IF(OR(VLOOKUP(A32,'03 诊断评分'!$A$6:$X$89,16,FALSE)="已评分",VLOOKUP(A32,'03 诊断评分'!$A$6:$X$89,16,FALSE)="资料已判定"),VLOOKUP(A32,'03 诊断评分'!$A$6:$X$89,7,FALSE),"")</f>
        <v>2</v>
      </c>
      <c r="E32" s="9">
        <f>IF(VLOOKUP(A32,'03 诊断评分'!$A$6:$X$89,19,FALSE)="","",VLOOKUP(A32,'03 诊断评分'!$A$6:$X$89,8,FALSE))</f>
        <v>3</v>
      </c>
      <c r="F32" s="9">
        <f>IF(VLOOKUP(A32,'03 诊断评分'!$A$6:$X$89,19,FALSE)="","",VLOOKUP(A32,'03 诊断评分'!$A$6:$X$89,19,FALSE))</f>
        <v>1</v>
      </c>
      <c r="G32" s="9" t="str">
        <f>VLOOKUP(A32,'03 诊断评分'!$A$6:$X$89,20,FALSE)</f>
        <v>高：关键基础补齐</v>
      </c>
      <c r="H32" s="10" t="s">
        <v>1343</v>
      </c>
      <c r="I32" s="3" t="s">
        <v>399</v>
      </c>
      <c r="J32" s="10" t="s">
        <v>1344</v>
      </c>
      <c r="K32" s="10" t="s">
        <v>1349</v>
      </c>
      <c r="L32" s="10" t="s">
        <v>1350</v>
      </c>
      <c r="M32" s="10"/>
      <c r="N32" s="11"/>
      <c r="O32" s="11"/>
      <c r="P32" s="10"/>
      <c r="Q32" s="10" t="s">
        <v>291</v>
      </c>
      <c r="R32" s="10" t="s">
        <v>1294</v>
      </c>
    </row>
    <row r="33" ht="133" customHeight="1" spans="1:18">
      <c r="A33" s="3" t="s">
        <v>400</v>
      </c>
      <c r="B33" s="3" t="s">
        <v>68</v>
      </c>
      <c r="C33" s="3" t="s">
        <v>401</v>
      </c>
      <c r="D33" s="9">
        <f>IF(OR(VLOOKUP(A33,'03 诊断评分'!$A$6:$X$89,16,FALSE)="已评分",VLOOKUP(A33,'03 诊断评分'!$A$6:$X$89,16,FALSE)="资料已判定"),VLOOKUP(A33,'03 诊断评分'!$A$6:$X$89,7,FALSE),"")</f>
        <v>2</v>
      </c>
      <c r="E33" s="9">
        <f>IF(VLOOKUP(A33,'03 诊断评分'!$A$6:$X$89,19,FALSE)="","",VLOOKUP(A33,'03 诊断评分'!$A$6:$X$89,8,FALSE))</f>
        <v>4</v>
      </c>
      <c r="F33" s="9">
        <f>IF(VLOOKUP(A33,'03 诊断评分'!$A$6:$X$89,19,FALSE)="","",VLOOKUP(A33,'03 诊断评分'!$A$6:$X$89,19,FALSE))</f>
        <v>2</v>
      </c>
      <c r="G33" s="9" t="str">
        <f>VLOOKUP(A33,'03 诊断评分'!$A$6:$X$89,20,FALSE)</f>
        <v>高：关键基础补齐</v>
      </c>
      <c r="H33" s="10" t="s">
        <v>1343</v>
      </c>
      <c r="I33" s="3" t="s">
        <v>409</v>
      </c>
      <c r="J33" s="10" t="s">
        <v>1344</v>
      </c>
      <c r="K33" s="10" t="s">
        <v>1351</v>
      </c>
      <c r="L33" s="10" t="s">
        <v>1352</v>
      </c>
      <c r="M33" s="10"/>
      <c r="N33" s="11"/>
      <c r="O33" s="11"/>
      <c r="P33" s="10"/>
      <c r="Q33" s="10" t="s">
        <v>291</v>
      </c>
      <c r="R33" s="10" t="s">
        <v>1294</v>
      </c>
    </row>
    <row r="34" ht="133" customHeight="1" spans="1:18">
      <c r="A34" s="3" t="s">
        <v>410</v>
      </c>
      <c r="B34" s="3" t="s">
        <v>68</v>
      </c>
      <c r="C34" s="3" t="s">
        <v>411</v>
      </c>
      <c r="D34" s="9">
        <f>IF(OR(VLOOKUP(A34,'03 诊断评分'!$A$6:$X$89,16,FALSE)="已评分",VLOOKUP(A34,'03 诊断评分'!$A$6:$X$89,16,FALSE)="资料已判定"),VLOOKUP(A34,'03 诊断评分'!$A$6:$X$89,7,FALSE),"")</f>
        <v>3</v>
      </c>
      <c r="E34" s="9">
        <f>IF(VLOOKUP(A34,'03 诊断评分'!$A$6:$X$89,19,FALSE)="","",VLOOKUP(A34,'03 诊断评分'!$A$6:$X$89,8,FALSE))</f>
        <v>3</v>
      </c>
      <c r="F34" s="9">
        <f>IF(VLOOKUP(A34,'03 诊断评分'!$A$6:$X$89,19,FALSE)="","",VLOOKUP(A34,'03 诊断评分'!$A$6:$X$89,19,FALSE))</f>
        <v>0</v>
      </c>
      <c r="G34" s="9" t="str">
        <f>VLOOKUP(A34,'03 诊断评分'!$A$6:$X$89,20,FALSE)</f>
        <v>保持/持续验证</v>
      </c>
      <c r="H34" s="10"/>
      <c r="I34" s="3" t="s">
        <v>420</v>
      </c>
      <c r="J34" s="10" t="s">
        <v>1344</v>
      </c>
      <c r="K34" s="10" t="s">
        <v>1353</v>
      </c>
      <c r="L34" s="10" t="s">
        <v>1354</v>
      </c>
      <c r="M34" s="10"/>
      <c r="N34" s="11"/>
      <c r="O34" s="11"/>
      <c r="P34" s="10"/>
      <c r="Q34" s="10" t="s">
        <v>291</v>
      </c>
      <c r="R34" s="10" t="s">
        <v>1290</v>
      </c>
    </row>
    <row r="35" ht="133" customHeight="1" spans="1:18">
      <c r="A35" s="3" t="s">
        <v>421</v>
      </c>
      <c r="B35" s="3" t="s">
        <v>68</v>
      </c>
      <c r="C35" s="3" t="s">
        <v>422</v>
      </c>
      <c r="D35" s="9" t="str">
        <f>IF(OR(VLOOKUP(A35,'03 诊断评分'!$A$6:$X$89,16,FALSE)="已评分",VLOOKUP(A35,'03 诊断评分'!$A$6:$X$89,16,FALSE)="资料已判定"),VLOOKUP(A35,'03 诊断评分'!$A$6:$X$89,7,FALSE),"")</f>
        <v/>
      </c>
      <c r="E35" s="9" t="str">
        <f>IF(VLOOKUP(A35,'03 诊断评分'!$A$6:$X$89,19,FALSE)="","",VLOOKUP(A35,'03 诊断评分'!$A$6:$X$89,8,FALSE))</f>
        <v/>
      </c>
      <c r="F35" s="9" t="str">
        <f>IF(VLOOKUP(A35,'03 诊断评分'!$A$6:$X$89,19,FALSE)="","",VLOOKUP(A35,'03 诊断评分'!$A$6:$X$89,19,FALSE))</f>
        <v/>
      </c>
      <c r="G35" s="9" t="str">
        <f>VLOOKUP(A35,'03 诊断评分'!$A$6:$X$89,20,FALSE)</f>
        <v>不适用</v>
      </c>
      <c r="H35" s="10"/>
      <c r="I35" s="3" t="s">
        <v>431</v>
      </c>
      <c r="J35" s="10" t="s">
        <v>1344</v>
      </c>
      <c r="K35" s="10" t="s">
        <v>1355</v>
      </c>
      <c r="L35" s="10" t="s">
        <v>1356</v>
      </c>
      <c r="M35" s="10"/>
      <c r="N35" s="11"/>
      <c r="O35" s="11"/>
      <c r="P35" s="10"/>
      <c r="Q35" s="10" t="s">
        <v>291</v>
      </c>
      <c r="R35" s="10" t="s">
        <v>1290</v>
      </c>
    </row>
    <row r="36" ht="133" customHeight="1" spans="1:18">
      <c r="A36" s="3" t="s">
        <v>432</v>
      </c>
      <c r="B36" s="3" t="s">
        <v>68</v>
      </c>
      <c r="C36" s="3" t="s">
        <v>433</v>
      </c>
      <c r="D36" s="9" t="str">
        <f>IF(OR(VLOOKUP(A36,'03 诊断评分'!$A$6:$X$89,16,FALSE)="已评分",VLOOKUP(A36,'03 诊断评分'!$A$6:$X$89,16,FALSE)="资料已判定"),VLOOKUP(A36,'03 诊断评分'!$A$6:$X$89,7,FALSE),"")</f>
        <v/>
      </c>
      <c r="E36" s="9" t="str">
        <f>IF(VLOOKUP(A36,'03 诊断评分'!$A$6:$X$89,19,FALSE)="","",VLOOKUP(A36,'03 诊断评分'!$A$6:$X$89,8,FALSE))</f>
        <v/>
      </c>
      <c r="F36" s="9" t="str">
        <f>IF(VLOOKUP(A36,'03 诊断评分'!$A$6:$X$89,19,FALSE)="","",VLOOKUP(A36,'03 诊断评分'!$A$6:$X$89,19,FALSE))</f>
        <v/>
      </c>
      <c r="G36" s="9" t="str">
        <f>VLOOKUP(A36,'03 诊断评分'!$A$6:$X$89,20,FALSE)</f>
        <v>不适用</v>
      </c>
      <c r="H36" s="10"/>
      <c r="I36" s="3" t="s">
        <v>442</v>
      </c>
      <c r="J36" s="10" t="s">
        <v>1344</v>
      </c>
      <c r="K36" s="10" t="s">
        <v>1357</v>
      </c>
      <c r="L36" s="10" t="s">
        <v>1358</v>
      </c>
      <c r="M36" s="10"/>
      <c r="N36" s="11"/>
      <c r="O36" s="11"/>
      <c r="P36" s="10"/>
      <c r="Q36" s="10" t="s">
        <v>291</v>
      </c>
      <c r="R36" s="10" t="s">
        <v>1290</v>
      </c>
    </row>
    <row r="37" ht="133" customHeight="1" spans="1:18">
      <c r="A37" s="3" t="s">
        <v>443</v>
      </c>
      <c r="B37" s="3" t="s">
        <v>68</v>
      </c>
      <c r="C37" s="3" t="s">
        <v>444</v>
      </c>
      <c r="D37" s="9">
        <f>IF(OR(VLOOKUP(A37,'03 诊断评分'!$A$6:$X$89,16,FALSE)="已评分",VLOOKUP(A37,'03 诊断评分'!$A$6:$X$89,16,FALSE)="资料已判定"),VLOOKUP(A37,'03 诊断评分'!$A$6:$X$89,7,FALSE),"")</f>
        <v>2</v>
      </c>
      <c r="E37" s="9">
        <f>IF(VLOOKUP(A37,'03 诊断评分'!$A$6:$X$89,19,FALSE)="","",VLOOKUP(A37,'03 诊断评分'!$A$6:$X$89,8,FALSE))</f>
        <v>3</v>
      </c>
      <c r="F37" s="9">
        <f>IF(VLOOKUP(A37,'03 诊断评分'!$A$6:$X$89,19,FALSE)="","",VLOOKUP(A37,'03 诊断评分'!$A$6:$X$89,19,FALSE))</f>
        <v>1</v>
      </c>
      <c r="G37" s="9" t="str">
        <f>VLOOKUP(A37,'03 诊断评分'!$A$6:$X$89,20,FALSE)</f>
        <v>高：关键基础补齐</v>
      </c>
      <c r="H37" s="10" t="s">
        <v>1343</v>
      </c>
      <c r="I37" s="3" t="s">
        <v>453</v>
      </c>
      <c r="J37" s="10" t="s">
        <v>1344</v>
      </c>
      <c r="K37" s="10" t="s">
        <v>1359</v>
      </c>
      <c r="L37" s="10" t="s">
        <v>1360</v>
      </c>
      <c r="M37" s="10"/>
      <c r="N37" s="11"/>
      <c r="O37" s="11"/>
      <c r="P37" s="10"/>
      <c r="Q37" s="10" t="s">
        <v>291</v>
      </c>
      <c r="R37" s="10" t="s">
        <v>1294</v>
      </c>
    </row>
    <row r="38" ht="133" customHeight="1" spans="1:18">
      <c r="A38" s="3" t="s">
        <v>454</v>
      </c>
      <c r="B38" s="3" t="s">
        <v>68</v>
      </c>
      <c r="C38" s="3" t="s">
        <v>455</v>
      </c>
      <c r="D38" s="9">
        <f>IF(OR(VLOOKUP(A38,'03 诊断评分'!$A$6:$X$89,16,FALSE)="已评分",VLOOKUP(A38,'03 诊断评分'!$A$6:$X$89,16,FALSE)="资料已判定"),VLOOKUP(A38,'03 诊断评分'!$A$6:$X$89,7,FALSE),"")</f>
        <v>2</v>
      </c>
      <c r="E38" s="9">
        <f>IF(VLOOKUP(A38,'03 诊断评分'!$A$6:$X$89,19,FALSE)="","",VLOOKUP(A38,'03 诊断评分'!$A$6:$X$89,8,FALSE))</f>
        <v>3</v>
      </c>
      <c r="F38" s="9">
        <f>IF(VLOOKUP(A38,'03 诊断评分'!$A$6:$X$89,19,FALSE)="","",VLOOKUP(A38,'03 诊断评分'!$A$6:$X$89,19,FALSE))</f>
        <v>1</v>
      </c>
      <c r="G38" s="9" t="str">
        <f>VLOOKUP(A38,'03 诊断评分'!$A$6:$X$89,20,FALSE)</f>
        <v>高：业务改善</v>
      </c>
      <c r="H38" s="10" t="s">
        <v>1343</v>
      </c>
      <c r="I38" s="3" t="s">
        <v>463</v>
      </c>
      <c r="J38" s="10" t="s">
        <v>1344</v>
      </c>
      <c r="K38" s="10" t="s">
        <v>1361</v>
      </c>
      <c r="L38" s="10" t="s">
        <v>1362</v>
      </c>
      <c r="M38" s="10"/>
      <c r="N38" s="11"/>
      <c r="O38" s="11"/>
      <c r="P38" s="10"/>
      <c r="Q38" s="10" t="s">
        <v>291</v>
      </c>
      <c r="R38" s="10" t="s">
        <v>1294</v>
      </c>
    </row>
    <row r="39" ht="133" customHeight="1" spans="1:18">
      <c r="A39" s="3" t="s">
        <v>464</v>
      </c>
      <c r="B39" s="3" t="s">
        <v>68</v>
      </c>
      <c r="C39" s="3" t="s">
        <v>465</v>
      </c>
      <c r="D39" s="9" t="str">
        <f>IF(OR(VLOOKUP(A39,'03 诊断评分'!$A$6:$X$89,16,FALSE)="已评分",VLOOKUP(A39,'03 诊断评分'!$A$6:$X$89,16,FALSE)="资料已判定"),VLOOKUP(A39,'03 诊断评分'!$A$6:$X$89,7,FALSE),"")</f>
        <v/>
      </c>
      <c r="E39" s="9" t="str">
        <f>IF(VLOOKUP(A39,'03 诊断评分'!$A$6:$X$89,19,FALSE)="","",VLOOKUP(A39,'03 诊断评分'!$A$6:$X$89,8,FALSE))</f>
        <v/>
      </c>
      <c r="F39" s="9" t="str">
        <f>IF(VLOOKUP(A39,'03 诊断评分'!$A$6:$X$89,19,FALSE)="","",VLOOKUP(A39,'03 诊断评分'!$A$6:$X$89,19,FALSE))</f>
        <v/>
      </c>
      <c r="G39" s="9" t="str">
        <f>VLOOKUP(A39,'03 诊断评分'!$A$6:$X$89,20,FALSE)</f>
        <v>不适用</v>
      </c>
      <c r="H39" s="10" t="s">
        <v>1343</v>
      </c>
      <c r="I39" s="3" t="s">
        <v>474</v>
      </c>
      <c r="J39" s="10" t="s">
        <v>1344</v>
      </c>
      <c r="K39" s="10" t="s">
        <v>1363</v>
      </c>
      <c r="L39" s="10" t="s">
        <v>1364</v>
      </c>
      <c r="M39" s="10"/>
      <c r="N39" s="11"/>
      <c r="O39" s="11"/>
      <c r="P39" s="10"/>
      <c r="Q39" s="10" t="s">
        <v>291</v>
      </c>
      <c r="R39" s="10" t="s">
        <v>1294</v>
      </c>
    </row>
    <row r="40" ht="133" customHeight="1" spans="1:18">
      <c r="A40" s="3" t="s">
        <v>475</v>
      </c>
      <c r="B40" s="3" t="s">
        <v>69</v>
      </c>
      <c r="C40" s="3" t="s">
        <v>476</v>
      </c>
      <c r="D40" s="9">
        <f>IF(OR(VLOOKUP(A40,'03 诊断评分'!$A$6:$X$89,16,FALSE)="已评分",VLOOKUP(A40,'03 诊断评分'!$A$6:$X$89,16,FALSE)="资料已判定"),VLOOKUP(A40,'03 诊断评分'!$A$6:$X$89,7,FALSE),"")</f>
        <v>2</v>
      </c>
      <c r="E40" s="9">
        <f>IF(VLOOKUP(A40,'03 诊断评分'!$A$6:$X$89,19,FALSE)="","",VLOOKUP(A40,'03 诊断评分'!$A$6:$X$89,8,FALSE))</f>
        <v>5</v>
      </c>
      <c r="F40" s="9">
        <f>IF(VLOOKUP(A40,'03 诊断评分'!$A$6:$X$89,19,FALSE)="","",VLOOKUP(A40,'03 诊断评分'!$A$6:$X$89,19,FALSE))</f>
        <v>3</v>
      </c>
      <c r="G40" s="9" t="str">
        <f>VLOOKUP(A40,'03 诊断评分'!$A$6:$X$89,20,FALSE)</f>
        <v>高：关键基础补齐</v>
      </c>
      <c r="H40" s="10" t="s">
        <v>1365</v>
      </c>
      <c r="I40" s="3" t="s">
        <v>486</v>
      </c>
      <c r="J40" s="10" t="s">
        <v>1366</v>
      </c>
      <c r="K40" s="10" t="s">
        <v>1367</v>
      </c>
      <c r="L40" s="10" t="s">
        <v>1368</v>
      </c>
      <c r="M40" s="10"/>
      <c r="N40" s="11"/>
      <c r="O40" s="11"/>
      <c r="P40" s="10"/>
      <c r="Q40" s="10" t="s">
        <v>291</v>
      </c>
      <c r="R40" s="10" t="s">
        <v>1294</v>
      </c>
    </row>
    <row r="41" ht="133" customHeight="1" spans="1:18">
      <c r="A41" s="3" t="s">
        <v>487</v>
      </c>
      <c r="B41" s="3" t="s">
        <v>69</v>
      </c>
      <c r="C41" s="3" t="s">
        <v>488</v>
      </c>
      <c r="D41" s="9">
        <f>IF(OR(VLOOKUP(A41,'03 诊断评分'!$A$6:$X$89,16,FALSE)="已评分",VLOOKUP(A41,'03 诊断评分'!$A$6:$X$89,16,FALSE)="资料已判定"),VLOOKUP(A41,'03 诊断评分'!$A$6:$X$89,7,FALSE),"")</f>
        <v>2</v>
      </c>
      <c r="E41" s="9">
        <f>IF(VLOOKUP(A41,'03 诊断评分'!$A$6:$X$89,19,FALSE)="","",VLOOKUP(A41,'03 诊断评分'!$A$6:$X$89,8,FALSE))</f>
        <v>3</v>
      </c>
      <c r="F41" s="9">
        <f>IF(VLOOKUP(A41,'03 诊断评分'!$A$6:$X$89,19,FALSE)="","",VLOOKUP(A41,'03 诊断评分'!$A$6:$X$89,19,FALSE))</f>
        <v>1</v>
      </c>
      <c r="G41" s="9" t="str">
        <f>VLOOKUP(A41,'03 诊断评分'!$A$6:$X$89,20,FALSE)</f>
        <v>高：业务改善</v>
      </c>
      <c r="H41" s="10" t="s">
        <v>1365</v>
      </c>
      <c r="I41" s="3" t="s">
        <v>497</v>
      </c>
      <c r="J41" s="10" t="s">
        <v>1366</v>
      </c>
      <c r="K41" s="10" t="s">
        <v>1369</v>
      </c>
      <c r="L41" s="10" t="s">
        <v>1370</v>
      </c>
      <c r="M41" s="10"/>
      <c r="N41" s="11"/>
      <c r="O41" s="11"/>
      <c r="P41" s="10"/>
      <c r="Q41" s="10" t="s">
        <v>291</v>
      </c>
      <c r="R41" s="10" t="s">
        <v>1294</v>
      </c>
    </row>
    <row r="42" ht="133" customHeight="1" spans="1:18">
      <c r="A42" s="3" t="s">
        <v>498</v>
      </c>
      <c r="B42" s="3" t="s">
        <v>69</v>
      </c>
      <c r="C42" s="3" t="s">
        <v>499</v>
      </c>
      <c r="D42" s="9">
        <f>IF(OR(VLOOKUP(A42,'03 诊断评分'!$A$6:$X$89,16,FALSE)="已评分",VLOOKUP(A42,'03 诊断评分'!$A$6:$X$89,16,FALSE)="资料已判定"),VLOOKUP(A42,'03 诊断评分'!$A$6:$X$89,7,FALSE),"")</f>
        <v>2</v>
      </c>
      <c r="E42" s="9">
        <f>IF(VLOOKUP(A42,'03 诊断评分'!$A$6:$X$89,19,FALSE)="","",VLOOKUP(A42,'03 诊断评分'!$A$6:$X$89,8,FALSE))</f>
        <v>3</v>
      </c>
      <c r="F42" s="9">
        <f>IF(VLOOKUP(A42,'03 诊断评分'!$A$6:$X$89,19,FALSE)="","",VLOOKUP(A42,'03 诊断评分'!$A$6:$X$89,19,FALSE))</f>
        <v>1</v>
      </c>
      <c r="G42" s="9" t="str">
        <f>VLOOKUP(A42,'03 诊断评分'!$A$6:$X$89,20,FALSE)</f>
        <v>高：业务改善</v>
      </c>
      <c r="H42" s="10" t="s">
        <v>1365</v>
      </c>
      <c r="I42" s="3" t="s">
        <v>508</v>
      </c>
      <c r="J42" s="10" t="s">
        <v>1366</v>
      </c>
      <c r="K42" s="10" t="s">
        <v>1371</v>
      </c>
      <c r="L42" s="10" t="s">
        <v>1372</v>
      </c>
      <c r="M42" s="10"/>
      <c r="N42" s="11"/>
      <c r="O42" s="11"/>
      <c r="P42" s="10"/>
      <c r="Q42" s="10" t="s">
        <v>291</v>
      </c>
      <c r="R42" s="10" t="s">
        <v>1294</v>
      </c>
    </row>
    <row r="43" ht="133" customHeight="1" spans="1:18">
      <c r="A43" s="3" t="s">
        <v>509</v>
      </c>
      <c r="B43" s="3" t="s">
        <v>69</v>
      </c>
      <c r="C43" s="3" t="s">
        <v>510</v>
      </c>
      <c r="D43" s="9">
        <f>IF(OR(VLOOKUP(A43,'03 诊断评分'!$A$6:$X$89,16,FALSE)="已评分",VLOOKUP(A43,'03 诊断评分'!$A$6:$X$89,16,FALSE)="资料已判定"),VLOOKUP(A43,'03 诊断评分'!$A$6:$X$89,7,FALSE),"")</f>
        <v>2</v>
      </c>
      <c r="E43" s="9">
        <f>IF(VLOOKUP(A43,'03 诊断评分'!$A$6:$X$89,19,FALSE)="","",VLOOKUP(A43,'03 诊断评分'!$A$6:$X$89,8,FALSE))</f>
        <v>3</v>
      </c>
      <c r="F43" s="9">
        <f>IF(VLOOKUP(A43,'03 诊断评分'!$A$6:$X$89,19,FALSE)="","",VLOOKUP(A43,'03 诊断评分'!$A$6:$X$89,19,FALSE))</f>
        <v>1</v>
      </c>
      <c r="G43" s="9" t="str">
        <f>VLOOKUP(A43,'03 诊断评分'!$A$6:$X$89,20,FALSE)</f>
        <v>高：关键基础补齐</v>
      </c>
      <c r="H43" s="10" t="s">
        <v>1365</v>
      </c>
      <c r="I43" s="3" t="s">
        <v>519</v>
      </c>
      <c r="J43" s="10" t="s">
        <v>1366</v>
      </c>
      <c r="K43" s="10" t="s">
        <v>1373</v>
      </c>
      <c r="L43" s="10" t="s">
        <v>1374</v>
      </c>
      <c r="M43" s="10"/>
      <c r="N43" s="11"/>
      <c r="O43" s="11"/>
      <c r="P43" s="10"/>
      <c r="Q43" s="10" t="s">
        <v>291</v>
      </c>
      <c r="R43" s="10" t="s">
        <v>1294</v>
      </c>
    </row>
    <row r="44" ht="133" customHeight="1" spans="1:18">
      <c r="A44" s="3" t="s">
        <v>520</v>
      </c>
      <c r="B44" s="3" t="s">
        <v>69</v>
      </c>
      <c r="C44" s="3" t="s">
        <v>521</v>
      </c>
      <c r="D44" s="9">
        <f>IF(OR(VLOOKUP(A44,'03 诊断评分'!$A$6:$X$89,16,FALSE)="已评分",VLOOKUP(A44,'03 诊断评分'!$A$6:$X$89,16,FALSE)="资料已判定"),VLOOKUP(A44,'03 诊断评分'!$A$6:$X$89,7,FALSE),"")</f>
        <v>1</v>
      </c>
      <c r="E44" s="9">
        <f>IF(VLOOKUP(A44,'03 诊断评分'!$A$6:$X$89,19,FALSE)="","",VLOOKUP(A44,'03 诊断评分'!$A$6:$X$89,8,FALSE))</f>
        <v>3</v>
      </c>
      <c r="F44" s="9">
        <f>IF(VLOOKUP(A44,'03 诊断评分'!$A$6:$X$89,19,FALSE)="","",VLOOKUP(A44,'03 诊断评分'!$A$6:$X$89,19,FALSE))</f>
        <v>2</v>
      </c>
      <c r="G44" s="9" t="str">
        <f>VLOOKUP(A44,'03 诊断评分'!$A$6:$X$89,20,FALSE)</f>
        <v>高：业务改善</v>
      </c>
      <c r="H44" s="10" t="s">
        <v>1365</v>
      </c>
      <c r="I44" s="3" t="s">
        <v>530</v>
      </c>
      <c r="J44" s="10" t="s">
        <v>1366</v>
      </c>
      <c r="K44" s="10" t="s">
        <v>1375</v>
      </c>
      <c r="L44" s="10" t="s">
        <v>1376</v>
      </c>
      <c r="M44" s="10"/>
      <c r="N44" s="11"/>
      <c r="O44" s="11"/>
      <c r="P44" s="10"/>
      <c r="Q44" s="10" t="s">
        <v>291</v>
      </c>
      <c r="R44" s="10" t="s">
        <v>1294</v>
      </c>
    </row>
    <row r="45" ht="133" customHeight="1" spans="1:18">
      <c r="A45" s="3" t="s">
        <v>531</v>
      </c>
      <c r="B45" s="3" t="s">
        <v>69</v>
      </c>
      <c r="C45" s="3" t="s">
        <v>532</v>
      </c>
      <c r="D45" s="9" t="str">
        <f>IF(OR(VLOOKUP(A45,'03 诊断评分'!$A$6:$X$89,16,FALSE)="已评分",VLOOKUP(A45,'03 诊断评分'!$A$6:$X$89,16,FALSE)="资料已判定"),VLOOKUP(A45,'03 诊断评分'!$A$6:$X$89,7,FALSE),"")</f>
        <v/>
      </c>
      <c r="E45" s="9" t="str">
        <f>IF(VLOOKUP(A45,'03 诊断评分'!$A$6:$X$89,19,FALSE)="","",VLOOKUP(A45,'03 诊断评分'!$A$6:$X$89,8,FALSE))</f>
        <v/>
      </c>
      <c r="F45" s="9" t="str">
        <f>IF(VLOOKUP(A45,'03 诊断评分'!$A$6:$X$89,19,FALSE)="","",VLOOKUP(A45,'03 诊断评分'!$A$6:$X$89,19,FALSE))</f>
        <v/>
      </c>
      <c r="G45" s="9" t="str">
        <f>VLOOKUP(A45,'03 诊断评分'!$A$6:$X$89,20,FALSE)</f>
        <v>不适用</v>
      </c>
      <c r="H45" s="10" t="s">
        <v>1365</v>
      </c>
      <c r="I45" s="3" t="s">
        <v>541</v>
      </c>
      <c r="J45" s="10" t="s">
        <v>1366</v>
      </c>
      <c r="K45" s="10" t="s">
        <v>1377</v>
      </c>
      <c r="L45" s="10" t="s">
        <v>1378</v>
      </c>
      <c r="M45" s="10"/>
      <c r="N45" s="11"/>
      <c r="O45" s="11"/>
      <c r="P45" s="10"/>
      <c r="Q45" s="10" t="s">
        <v>291</v>
      </c>
      <c r="R45" s="10" t="s">
        <v>1294</v>
      </c>
    </row>
    <row r="46" ht="133" customHeight="1" spans="1:18">
      <c r="A46" s="3" t="s">
        <v>542</v>
      </c>
      <c r="B46" s="3" t="s">
        <v>69</v>
      </c>
      <c r="C46" s="3" t="s">
        <v>543</v>
      </c>
      <c r="D46" s="9">
        <f>IF(OR(VLOOKUP(A46,'03 诊断评分'!$A$6:$X$89,16,FALSE)="已评分",VLOOKUP(A46,'03 诊断评分'!$A$6:$X$89,16,FALSE)="资料已判定"),VLOOKUP(A46,'03 诊断评分'!$A$6:$X$89,7,FALSE),"")</f>
        <v>1</v>
      </c>
      <c r="E46" s="9">
        <f>IF(VLOOKUP(A46,'03 诊断评分'!$A$6:$X$89,19,FALSE)="","",VLOOKUP(A46,'03 诊断评分'!$A$6:$X$89,8,FALSE))</f>
        <v>3</v>
      </c>
      <c r="F46" s="9">
        <f>IF(VLOOKUP(A46,'03 诊断评分'!$A$6:$X$89,19,FALSE)="","",VLOOKUP(A46,'03 诊断评分'!$A$6:$X$89,19,FALSE))</f>
        <v>2</v>
      </c>
      <c r="G46" s="9" t="str">
        <f>VLOOKUP(A46,'03 诊断评分'!$A$6:$X$89,20,FALSE)</f>
        <v>高：业务改善</v>
      </c>
      <c r="H46" s="10"/>
      <c r="I46" s="3" t="s">
        <v>552</v>
      </c>
      <c r="J46" s="10" t="s">
        <v>1366</v>
      </c>
      <c r="K46" s="10" t="s">
        <v>1379</v>
      </c>
      <c r="L46" s="10" t="s">
        <v>1380</v>
      </c>
      <c r="M46" s="10"/>
      <c r="N46" s="11"/>
      <c r="O46" s="11"/>
      <c r="P46" s="10"/>
      <c r="Q46" s="10" t="s">
        <v>291</v>
      </c>
      <c r="R46" s="10" t="s">
        <v>1290</v>
      </c>
    </row>
    <row r="47" ht="133" customHeight="1" spans="1:18">
      <c r="A47" s="3" t="s">
        <v>553</v>
      </c>
      <c r="B47" s="3" t="s">
        <v>69</v>
      </c>
      <c r="C47" s="3" t="s">
        <v>554</v>
      </c>
      <c r="D47" s="9">
        <f>IF(OR(VLOOKUP(A47,'03 诊断评分'!$A$6:$X$89,16,FALSE)="已评分",VLOOKUP(A47,'03 诊断评分'!$A$6:$X$89,16,FALSE)="资料已判定"),VLOOKUP(A47,'03 诊断评分'!$A$6:$X$89,7,FALSE),"")</f>
        <v>2</v>
      </c>
      <c r="E47" s="9">
        <f>IF(VLOOKUP(A47,'03 诊断评分'!$A$6:$X$89,19,FALSE)="","",VLOOKUP(A47,'03 诊断评分'!$A$6:$X$89,8,FALSE))</f>
        <v>3</v>
      </c>
      <c r="F47" s="9">
        <f>IF(VLOOKUP(A47,'03 诊断评分'!$A$6:$X$89,19,FALSE)="","",VLOOKUP(A47,'03 诊断评分'!$A$6:$X$89,19,FALSE))</f>
        <v>1</v>
      </c>
      <c r="G47" s="9" t="str">
        <f>VLOOKUP(A47,'03 诊断评分'!$A$6:$X$89,20,FALSE)</f>
        <v>高：业务改善</v>
      </c>
      <c r="H47" s="10" t="s">
        <v>1365</v>
      </c>
      <c r="I47" s="3" t="s">
        <v>563</v>
      </c>
      <c r="J47" s="10" t="s">
        <v>1366</v>
      </c>
      <c r="K47" s="10" t="s">
        <v>1381</v>
      </c>
      <c r="L47" s="10" t="s">
        <v>1382</v>
      </c>
      <c r="M47" s="10"/>
      <c r="N47" s="11"/>
      <c r="O47" s="11"/>
      <c r="P47" s="10"/>
      <c r="Q47" s="10" t="s">
        <v>291</v>
      </c>
      <c r="R47" s="10" t="s">
        <v>1294</v>
      </c>
    </row>
    <row r="48" ht="133" customHeight="1" spans="1:18">
      <c r="A48" s="3" t="s">
        <v>564</v>
      </c>
      <c r="B48" s="3" t="s">
        <v>70</v>
      </c>
      <c r="C48" s="3" t="s">
        <v>565</v>
      </c>
      <c r="D48" s="9">
        <f>IF(OR(VLOOKUP(A48,'03 诊断评分'!$A$6:$X$89,16,FALSE)="已评分",VLOOKUP(A48,'03 诊断评分'!$A$6:$X$89,16,FALSE)="资料已判定"),VLOOKUP(A48,'03 诊断评分'!$A$6:$X$89,7,FALSE),"")</f>
        <v>2</v>
      </c>
      <c r="E48" s="9">
        <f>IF(VLOOKUP(A48,'03 诊断评分'!$A$6:$X$89,19,FALSE)="","",VLOOKUP(A48,'03 诊断评分'!$A$6:$X$89,8,FALSE))</f>
        <v>3</v>
      </c>
      <c r="F48" s="9">
        <f>IF(VLOOKUP(A48,'03 诊断评分'!$A$6:$X$89,19,FALSE)="","",VLOOKUP(A48,'03 诊断评分'!$A$6:$X$89,19,FALSE))</f>
        <v>1</v>
      </c>
      <c r="G48" s="9" t="str">
        <f>VLOOKUP(A48,'03 诊断评分'!$A$6:$X$89,20,FALSE)</f>
        <v>高：关键基础补齐</v>
      </c>
      <c r="H48" s="10" t="s">
        <v>1383</v>
      </c>
      <c r="I48" s="3" t="s">
        <v>575</v>
      </c>
      <c r="J48" s="10" t="s">
        <v>1384</v>
      </c>
      <c r="K48" s="10" t="s">
        <v>1385</v>
      </c>
      <c r="L48" s="10" t="s">
        <v>1386</v>
      </c>
      <c r="M48" s="10"/>
      <c r="N48" s="11"/>
      <c r="O48" s="11"/>
      <c r="P48" s="10"/>
      <c r="Q48" s="10" t="s">
        <v>291</v>
      </c>
      <c r="R48" s="10" t="s">
        <v>1294</v>
      </c>
    </row>
    <row r="49" ht="133" customHeight="1" spans="1:18">
      <c r="A49" s="3" t="s">
        <v>576</v>
      </c>
      <c r="B49" s="3" t="s">
        <v>70</v>
      </c>
      <c r="C49" s="3" t="s">
        <v>577</v>
      </c>
      <c r="D49" s="9">
        <f>IF(OR(VLOOKUP(A49,'03 诊断评分'!$A$6:$X$89,16,FALSE)="已评分",VLOOKUP(A49,'03 诊断评分'!$A$6:$X$89,16,FALSE)="资料已判定"),VLOOKUP(A49,'03 诊断评分'!$A$6:$X$89,7,FALSE),"")</f>
        <v>2</v>
      </c>
      <c r="E49" s="9">
        <f>IF(VLOOKUP(A49,'03 诊断评分'!$A$6:$X$89,19,FALSE)="","",VLOOKUP(A49,'03 诊断评分'!$A$6:$X$89,8,FALSE))</f>
        <v>3</v>
      </c>
      <c r="F49" s="9">
        <f>IF(VLOOKUP(A49,'03 诊断评分'!$A$6:$X$89,19,FALSE)="","",VLOOKUP(A49,'03 诊断评分'!$A$6:$X$89,19,FALSE))</f>
        <v>1</v>
      </c>
      <c r="G49" s="9" t="str">
        <f>VLOOKUP(A49,'03 诊断评分'!$A$6:$X$89,20,FALSE)</f>
        <v>高：关键基础补齐</v>
      </c>
      <c r="H49" s="10" t="s">
        <v>1383</v>
      </c>
      <c r="I49" s="3" t="s">
        <v>586</v>
      </c>
      <c r="J49" s="10" t="s">
        <v>1384</v>
      </c>
      <c r="K49" s="10" t="s">
        <v>1387</v>
      </c>
      <c r="L49" s="10" t="s">
        <v>1388</v>
      </c>
      <c r="M49" s="10"/>
      <c r="N49" s="11"/>
      <c r="O49" s="11"/>
      <c r="P49" s="10"/>
      <c r="Q49" s="10" t="s">
        <v>291</v>
      </c>
      <c r="R49" s="10" t="s">
        <v>1294</v>
      </c>
    </row>
    <row r="50" ht="133" customHeight="1" spans="1:18">
      <c r="A50" s="3" t="s">
        <v>587</v>
      </c>
      <c r="B50" s="3" t="s">
        <v>70</v>
      </c>
      <c r="C50" s="3" t="s">
        <v>588</v>
      </c>
      <c r="D50" s="9">
        <f>IF(OR(VLOOKUP(A50,'03 诊断评分'!$A$6:$X$89,16,FALSE)="已评分",VLOOKUP(A50,'03 诊断评分'!$A$6:$X$89,16,FALSE)="资料已判定"),VLOOKUP(A50,'03 诊断评分'!$A$6:$X$89,7,FALSE),"")</f>
        <v>2</v>
      </c>
      <c r="E50" s="9">
        <f>IF(VLOOKUP(A50,'03 诊断评分'!$A$6:$X$89,19,FALSE)="","",VLOOKUP(A50,'03 诊断评分'!$A$6:$X$89,8,FALSE))</f>
        <v>3</v>
      </c>
      <c r="F50" s="9">
        <f>IF(VLOOKUP(A50,'03 诊断评分'!$A$6:$X$89,19,FALSE)="","",VLOOKUP(A50,'03 诊断评分'!$A$6:$X$89,19,FALSE))</f>
        <v>1</v>
      </c>
      <c r="G50" s="9" t="str">
        <f>VLOOKUP(A50,'03 诊断评分'!$A$6:$X$89,20,FALSE)</f>
        <v>高：关键基础补齐</v>
      </c>
      <c r="H50" s="10" t="s">
        <v>1383</v>
      </c>
      <c r="I50" s="3" t="s">
        <v>597</v>
      </c>
      <c r="J50" s="10" t="s">
        <v>1384</v>
      </c>
      <c r="K50" s="10" t="s">
        <v>1389</v>
      </c>
      <c r="L50" s="10" t="s">
        <v>1390</v>
      </c>
      <c r="M50" s="10"/>
      <c r="N50" s="11"/>
      <c r="O50" s="11"/>
      <c r="P50" s="10"/>
      <c r="Q50" s="10" t="s">
        <v>291</v>
      </c>
      <c r="R50" s="10" t="s">
        <v>1294</v>
      </c>
    </row>
    <row r="51" ht="133" customHeight="1" spans="1:18">
      <c r="A51" s="3" t="s">
        <v>598</v>
      </c>
      <c r="B51" s="3" t="s">
        <v>70</v>
      </c>
      <c r="C51" s="3" t="s">
        <v>599</v>
      </c>
      <c r="D51" s="9">
        <f>IF(OR(VLOOKUP(A51,'03 诊断评分'!$A$6:$X$89,16,FALSE)="已评分",VLOOKUP(A51,'03 诊断评分'!$A$6:$X$89,16,FALSE)="资料已判定"),VLOOKUP(A51,'03 诊断评分'!$A$6:$X$89,7,FALSE),"")</f>
        <v>1</v>
      </c>
      <c r="E51" s="9">
        <f>IF(VLOOKUP(A51,'03 诊断评分'!$A$6:$X$89,19,FALSE)="","",VLOOKUP(A51,'03 诊断评分'!$A$6:$X$89,8,FALSE))</f>
        <v>3</v>
      </c>
      <c r="F51" s="9">
        <f>IF(VLOOKUP(A51,'03 诊断评分'!$A$6:$X$89,19,FALSE)="","",VLOOKUP(A51,'03 诊断评分'!$A$6:$X$89,19,FALSE))</f>
        <v>2</v>
      </c>
      <c r="G51" s="9" t="str">
        <f>VLOOKUP(A51,'03 诊断评分'!$A$6:$X$89,20,FALSE)</f>
        <v>中：能力提升</v>
      </c>
      <c r="H51" s="10" t="s">
        <v>1383</v>
      </c>
      <c r="I51" s="3" t="s">
        <v>608</v>
      </c>
      <c r="J51" s="10" t="s">
        <v>1384</v>
      </c>
      <c r="K51" s="10" t="s">
        <v>1391</v>
      </c>
      <c r="L51" s="10" t="s">
        <v>1392</v>
      </c>
      <c r="M51" s="10"/>
      <c r="N51" s="11"/>
      <c r="O51" s="11"/>
      <c r="P51" s="10"/>
      <c r="Q51" s="10" t="s">
        <v>291</v>
      </c>
      <c r="R51" s="10" t="s">
        <v>1294</v>
      </c>
    </row>
    <row r="52" ht="133" customHeight="1" spans="1:18">
      <c r="A52" s="3" t="s">
        <v>609</v>
      </c>
      <c r="B52" s="3" t="s">
        <v>70</v>
      </c>
      <c r="C52" s="3" t="s">
        <v>610</v>
      </c>
      <c r="D52" s="9">
        <f>IF(OR(VLOOKUP(A52,'03 诊断评分'!$A$6:$X$89,16,FALSE)="已评分",VLOOKUP(A52,'03 诊断评分'!$A$6:$X$89,16,FALSE)="资料已判定"),VLOOKUP(A52,'03 诊断评分'!$A$6:$X$89,7,FALSE),"")</f>
        <v>0</v>
      </c>
      <c r="E52" s="9">
        <f>IF(VLOOKUP(A52,'03 诊断评分'!$A$6:$X$89,19,FALSE)="","",VLOOKUP(A52,'03 诊断评分'!$A$6:$X$89,8,FALSE))</f>
        <v>3</v>
      </c>
      <c r="F52" s="9">
        <f>IF(VLOOKUP(A52,'03 诊断评分'!$A$6:$X$89,19,FALSE)="","",VLOOKUP(A52,'03 诊断评分'!$A$6:$X$89,19,FALSE))</f>
        <v>3</v>
      </c>
      <c r="G52" s="9" t="str">
        <f>VLOOKUP(A52,'03 诊断评分'!$A$6:$X$89,20,FALSE)</f>
        <v>中：能力提升</v>
      </c>
      <c r="H52" s="10" t="s">
        <v>1383</v>
      </c>
      <c r="I52" s="3" t="s">
        <v>619</v>
      </c>
      <c r="J52" s="10" t="s">
        <v>1384</v>
      </c>
      <c r="K52" s="10" t="s">
        <v>1393</v>
      </c>
      <c r="L52" s="10" t="s">
        <v>1394</v>
      </c>
      <c r="M52" s="10"/>
      <c r="N52" s="11"/>
      <c r="O52" s="11"/>
      <c r="P52" s="10"/>
      <c r="Q52" s="10" t="s">
        <v>291</v>
      </c>
      <c r="R52" s="10" t="s">
        <v>1290</v>
      </c>
    </row>
    <row r="53" ht="133" customHeight="1" spans="1:18">
      <c r="A53" s="3" t="s">
        <v>620</v>
      </c>
      <c r="B53" s="3" t="s">
        <v>70</v>
      </c>
      <c r="C53" s="3" t="s">
        <v>621</v>
      </c>
      <c r="D53" s="9">
        <f>IF(OR(VLOOKUP(A53,'03 诊断评分'!$A$6:$X$89,16,FALSE)="已评分",VLOOKUP(A53,'03 诊断评分'!$A$6:$X$89,16,FALSE)="资料已判定"),VLOOKUP(A53,'03 诊断评分'!$A$6:$X$89,7,FALSE),"")</f>
        <v>2</v>
      </c>
      <c r="E53" s="9">
        <f>IF(VLOOKUP(A53,'03 诊断评分'!$A$6:$X$89,19,FALSE)="","",VLOOKUP(A53,'03 诊断评分'!$A$6:$X$89,8,FALSE))</f>
        <v>3</v>
      </c>
      <c r="F53" s="9">
        <f>IF(VLOOKUP(A53,'03 诊断评分'!$A$6:$X$89,19,FALSE)="","",VLOOKUP(A53,'03 诊断评分'!$A$6:$X$89,19,FALSE))</f>
        <v>1</v>
      </c>
      <c r="G53" s="9" t="str">
        <f>VLOOKUP(A53,'03 诊断评分'!$A$6:$X$89,20,FALSE)</f>
        <v>高：关键基础补齐</v>
      </c>
      <c r="H53" s="10" t="s">
        <v>1383</v>
      </c>
      <c r="I53" s="3" t="s">
        <v>630</v>
      </c>
      <c r="J53" s="10" t="s">
        <v>1384</v>
      </c>
      <c r="K53" s="10" t="s">
        <v>1395</v>
      </c>
      <c r="L53" s="10" t="s">
        <v>1396</v>
      </c>
      <c r="M53" s="10"/>
      <c r="N53" s="11"/>
      <c r="O53" s="11"/>
      <c r="P53" s="10"/>
      <c r="Q53" s="10" t="s">
        <v>291</v>
      </c>
      <c r="R53" s="10" t="s">
        <v>1294</v>
      </c>
    </row>
    <row r="54" ht="133" customHeight="1" spans="1:18">
      <c r="A54" s="3" t="s">
        <v>631</v>
      </c>
      <c r="B54" s="3" t="s">
        <v>70</v>
      </c>
      <c r="C54" s="3" t="s">
        <v>632</v>
      </c>
      <c r="D54" s="9">
        <f>IF(OR(VLOOKUP(A54,'03 诊断评分'!$A$6:$X$89,16,FALSE)="已评分",VLOOKUP(A54,'03 诊断评分'!$A$6:$X$89,16,FALSE)="资料已判定"),VLOOKUP(A54,'03 诊断评分'!$A$6:$X$89,7,FALSE),"")</f>
        <v>2</v>
      </c>
      <c r="E54" s="9">
        <f>IF(VLOOKUP(A54,'03 诊断评分'!$A$6:$X$89,19,FALSE)="","",VLOOKUP(A54,'03 诊断评分'!$A$6:$X$89,8,FALSE))</f>
        <v>3</v>
      </c>
      <c r="F54" s="9">
        <f>IF(VLOOKUP(A54,'03 诊断评分'!$A$6:$X$89,19,FALSE)="","",VLOOKUP(A54,'03 诊断评分'!$A$6:$X$89,19,FALSE))</f>
        <v>1</v>
      </c>
      <c r="G54" s="9" t="str">
        <f>VLOOKUP(A54,'03 诊断评分'!$A$6:$X$89,20,FALSE)</f>
        <v>高：关键基础补齐</v>
      </c>
      <c r="H54" s="10" t="s">
        <v>1383</v>
      </c>
      <c r="I54" s="3" t="s">
        <v>641</v>
      </c>
      <c r="J54" s="10" t="s">
        <v>1384</v>
      </c>
      <c r="K54" s="10" t="s">
        <v>1397</v>
      </c>
      <c r="L54" s="10" t="s">
        <v>1398</v>
      </c>
      <c r="M54" s="10"/>
      <c r="N54" s="11"/>
      <c r="O54" s="11"/>
      <c r="P54" s="10"/>
      <c r="Q54" s="10" t="s">
        <v>291</v>
      </c>
      <c r="R54" s="10" t="s">
        <v>1294</v>
      </c>
    </row>
    <row r="55" ht="133" customHeight="1" spans="1:18">
      <c r="A55" s="3" t="s">
        <v>642</v>
      </c>
      <c r="B55" s="3" t="s">
        <v>70</v>
      </c>
      <c r="C55" s="3" t="s">
        <v>643</v>
      </c>
      <c r="D55" s="9">
        <f>IF(OR(VLOOKUP(A55,'03 诊断评分'!$A$6:$X$89,16,FALSE)="已评分",VLOOKUP(A55,'03 诊断评分'!$A$6:$X$89,16,FALSE)="资料已判定"),VLOOKUP(A55,'03 诊断评分'!$A$6:$X$89,7,FALSE),"")</f>
        <v>0</v>
      </c>
      <c r="E55" s="9">
        <f>IF(VLOOKUP(A55,'03 诊断评分'!$A$6:$X$89,19,FALSE)="","",VLOOKUP(A55,'03 诊断评分'!$A$6:$X$89,8,FALSE))</f>
        <v>3</v>
      </c>
      <c r="F55" s="9">
        <f>IF(VLOOKUP(A55,'03 诊断评分'!$A$6:$X$89,19,FALSE)="","",VLOOKUP(A55,'03 诊断评分'!$A$6:$X$89,19,FALSE))</f>
        <v>3</v>
      </c>
      <c r="G55" s="9" t="str">
        <f>VLOOKUP(A55,'03 诊断评分'!$A$6:$X$89,20,FALSE)</f>
        <v>高：关键基础补齐</v>
      </c>
      <c r="H55" s="10" t="s">
        <v>1383</v>
      </c>
      <c r="I55" s="3" t="s">
        <v>652</v>
      </c>
      <c r="J55" s="10" t="s">
        <v>1384</v>
      </c>
      <c r="K55" s="10" t="s">
        <v>1399</v>
      </c>
      <c r="L55" s="10" t="s">
        <v>1400</v>
      </c>
      <c r="M55" s="10"/>
      <c r="N55" s="11"/>
      <c r="O55" s="11"/>
      <c r="P55" s="10"/>
      <c r="Q55" s="10" t="s">
        <v>291</v>
      </c>
      <c r="R55" s="10" t="s">
        <v>1290</v>
      </c>
    </row>
    <row r="56" ht="133" customHeight="1" spans="1:18">
      <c r="A56" s="3" t="s">
        <v>653</v>
      </c>
      <c r="B56" s="3" t="s">
        <v>70</v>
      </c>
      <c r="C56" s="3" t="s">
        <v>654</v>
      </c>
      <c r="D56" s="9">
        <f>IF(OR(VLOOKUP(A56,'03 诊断评分'!$A$6:$X$89,16,FALSE)="已评分",VLOOKUP(A56,'03 诊断评分'!$A$6:$X$89,16,FALSE)="资料已判定"),VLOOKUP(A56,'03 诊断评分'!$A$6:$X$89,7,FALSE),"")</f>
        <v>2</v>
      </c>
      <c r="E56" s="9">
        <f>IF(VLOOKUP(A56,'03 诊断评分'!$A$6:$X$89,19,FALSE)="","",VLOOKUP(A56,'03 诊断评分'!$A$6:$X$89,8,FALSE))</f>
        <v>3</v>
      </c>
      <c r="F56" s="9">
        <f>IF(VLOOKUP(A56,'03 诊断评分'!$A$6:$X$89,19,FALSE)="","",VLOOKUP(A56,'03 诊断评分'!$A$6:$X$89,19,FALSE))</f>
        <v>1</v>
      </c>
      <c r="G56" s="9" t="str">
        <f>VLOOKUP(A56,'03 诊断评分'!$A$6:$X$89,20,FALSE)</f>
        <v>高：业务改善</v>
      </c>
      <c r="H56" s="10" t="s">
        <v>1383</v>
      </c>
      <c r="I56" s="3" t="s">
        <v>663</v>
      </c>
      <c r="J56" s="10" t="s">
        <v>1384</v>
      </c>
      <c r="K56" s="10" t="s">
        <v>1401</v>
      </c>
      <c r="L56" s="10" t="s">
        <v>1402</v>
      </c>
      <c r="M56" s="10"/>
      <c r="N56" s="11"/>
      <c r="O56" s="11"/>
      <c r="P56" s="10"/>
      <c r="Q56" s="10" t="s">
        <v>291</v>
      </c>
      <c r="R56" s="10" t="s">
        <v>1294</v>
      </c>
    </row>
    <row r="57" ht="133" customHeight="1" spans="1:18">
      <c r="A57" s="3" t="s">
        <v>664</v>
      </c>
      <c r="B57" s="3" t="s">
        <v>70</v>
      </c>
      <c r="C57" s="3" t="s">
        <v>665</v>
      </c>
      <c r="D57" s="9">
        <f>IF(OR(VLOOKUP(A57,'03 诊断评分'!$A$6:$X$89,16,FALSE)="已评分",VLOOKUP(A57,'03 诊断评分'!$A$6:$X$89,16,FALSE)="资料已判定"),VLOOKUP(A57,'03 诊断评分'!$A$6:$X$89,7,FALSE),"")</f>
        <v>2</v>
      </c>
      <c r="E57" s="9">
        <f>IF(VLOOKUP(A57,'03 诊断评分'!$A$6:$X$89,19,FALSE)="","",VLOOKUP(A57,'03 诊断评分'!$A$6:$X$89,8,FALSE))</f>
        <v>3</v>
      </c>
      <c r="F57" s="9">
        <f>IF(VLOOKUP(A57,'03 诊断评分'!$A$6:$X$89,19,FALSE)="","",VLOOKUP(A57,'03 诊断评分'!$A$6:$X$89,19,FALSE))</f>
        <v>1</v>
      </c>
      <c r="G57" s="9" t="str">
        <f>VLOOKUP(A57,'03 诊断评分'!$A$6:$X$89,20,FALSE)</f>
        <v>高：业务改善</v>
      </c>
      <c r="H57" s="10" t="s">
        <v>1383</v>
      </c>
      <c r="I57" s="3" t="s">
        <v>674</v>
      </c>
      <c r="J57" s="10" t="s">
        <v>1384</v>
      </c>
      <c r="K57" s="10" t="s">
        <v>1403</v>
      </c>
      <c r="L57" s="10" t="s">
        <v>1404</v>
      </c>
      <c r="M57" s="10"/>
      <c r="N57" s="11"/>
      <c r="O57" s="11"/>
      <c r="P57" s="10"/>
      <c r="Q57" s="10" t="s">
        <v>291</v>
      </c>
      <c r="R57" s="10" t="s">
        <v>1294</v>
      </c>
    </row>
    <row r="58" ht="133" customHeight="1" spans="1:18">
      <c r="A58" s="3" t="s">
        <v>675</v>
      </c>
      <c r="B58" s="3" t="s">
        <v>71</v>
      </c>
      <c r="C58" s="3" t="s">
        <v>676</v>
      </c>
      <c r="D58" s="9">
        <f>IF(OR(VLOOKUP(A58,'03 诊断评分'!$A$6:$X$89,16,FALSE)="已评分",VLOOKUP(A58,'03 诊断评分'!$A$6:$X$89,16,FALSE)="资料已判定"),VLOOKUP(A58,'03 诊断评分'!$A$6:$X$89,7,FALSE),"")</f>
        <v>2</v>
      </c>
      <c r="E58" s="9">
        <f>IF(VLOOKUP(A58,'03 诊断评分'!$A$6:$X$89,19,FALSE)="","",VLOOKUP(A58,'03 诊断评分'!$A$6:$X$89,8,FALSE))</f>
        <v>3</v>
      </c>
      <c r="F58" s="9">
        <f>IF(VLOOKUP(A58,'03 诊断评分'!$A$6:$X$89,19,FALSE)="","",VLOOKUP(A58,'03 诊断评分'!$A$6:$X$89,19,FALSE))</f>
        <v>1</v>
      </c>
      <c r="G58" s="9" t="str">
        <f>VLOOKUP(A58,'03 诊断评分'!$A$6:$X$89,20,FALSE)</f>
        <v>低：持续改善</v>
      </c>
      <c r="H58" s="10"/>
      <c r="I58" s="3" t="s">
        <v>686</v>
      </c>
      <c r="J58" s="10" t="s">
        <v>1405</v>
      </c>
      <c r="K58" s="10" t="s">
        <v>1406</v>
      </c>
      <c r="L58" s="10" t="s">
        <v>1407</v>
      </c>
      <c r="M58" s="10"/>
      <c r="N58" s="11"/>
      <c r="O58" s="11"/>
      <c r="P58" s="10"/>
      <c r="Q58" s="10" t="s">
        <v>291</v>
      </c>
      <c r="R58" s="10" t="s">
        <v>1290</v>
      </c>
    </row>
    <row r="59" ht="133" customHeight="1" spans="1:18">
      <c r="A59" s="3" t="s">
        <v>687</v>
      </c>
      <c r="B59" s="3" t="s">
        <v>71</v>
      </c>
      <c r="C59" s="3" t="s">
        <v>688</v>
      </c>
      <c r="D59" s="9">
        <f>IF(OR(VLOOKUP(A59,'03 诊断评分'!$A$6:$X$89,16,FALSE)="已评分",VLOOKUP(A59,'03 诊断评分'!$A$6:$X$89,16,FALSE)="资料已判定"),VLOOKUP(A59,'03 诊断评分'!$A$6:$X$89,7,FALSE),"")</f>
        <v>1</v>
      </c>
      <c r="E59" s="9">
        <f>IF(VLOOKUP(A59,'03 诊断评分'!$A$6:$X$89,19,FALSE)="","",VLOOKUP(A59,'03 诊断评分'!$A$6:$X$89,8,FALSE))</f>
        <v>3</v>
      </c>
      <c r="F59" s="9">
        <f>IF(VLOOKUP(A59,'03 诊断评分'!$A$6:$X$89,19,FALSE)="","",VLOOKUP(A59,'03 诊断评分'!$A$6:$X$89,19,FALSE))</f>
        <v>2</v>
      </c>
      <c r="G59" s="9" t="str">
        <f>VLOOKUP(A59,'03 诊断评分'!$A$6:$X$89,20,FALSE)</f>
        <v>中：能力提升</v>
      </c>
      <c r="H59" s="10"/>
      <c r="I59" s="3" t="s">
        <v>697</v>
      </c>
      <c r="J59" s="10" t="s">
        <v>1405</v>
      </c>
      <c r="K59" s="10" t="s">
        <v>1408</v>
      </c>
      <c r="L59" s="10" t="s">
        <v>1409</v>
      </c>
      <c r="M59" s="10"/>
      <c r="N59" s="11"/>
      <c r="O59" s="11"/>
      <c r="P59" s="10"/>
      <c r="Q59" s="10" t="s">
        <v>291</v>
      </c>
      <c r="R59" s="10" t="s">
        <v>1290</v>
      </c>
    </row>
    <row r="60" ht="133" customHeight="1" spans="1:18">
      <c r="A60" s="3" t="s">
        <v>698</v>
      </c>
      <c r="B60" s="3" t="s">
        <v>71</v>
      </c>
      <c r="C60" s="3" t="s">
        <v>699</v>
      </c>
      <c r="D60" s="9">
        <f>IF(OR(VLOOKUP(A60,'03 诊断评分'!$A$6:$X$89,16,FALSE)="已评分",VLOOKUP(A60,'03 诊断评分'!$A$6:$X$89,16,FALSE)="资料已判定"),VLOOKUP(A60,'03 诊断评分'!$A$6:$X$89,7,FALSE),"")</f>
        <v>1</v>
      </c>
      <c r="E60" s="9">
        <f>IF(VLOOKUP(A60,'03 诊断评分'!$A$6:$X$89,19,FALSE)="","",VLOOKUP(A60,'03 诊断评分'!$A$6:$X$89,8,FALSE))</f>
        <v>3</v>
      </c>
      <c r="F60" s="9">
        <f>IF(VLOOKUP(A60,'03 诊断评分'!$A$6:$X$89,19,FALSE)="","",VLOOKUP(A60,'03 诊断评分'!$A$6:$X$89,19,FALSE))</f>
        <v>2</v>
      </c>
      <c r="G60" s="9" t="str">
        <f>VLOOKUP(A60,'03 诊断评分'!$A$6:$X$89,20,FALSE)</f>
        <v>中：能力提升</v>
      </c>
      <c r="H60" s="10" t="s">
        <v>1410</v>
      </c>
      <c r="I60" s="3" t="s">
        <v>708</v>
      </c>
      <c r="J60" s="10" t="s">
        <v>1405</v>
      </c>
      <c r="K60" s="10" t="s">
        <v>1411</v>
      </c>
      <c r="L60" s="10" t="s">
        <v>1412</v>
      </c>
      <c r="M60" s="10"/>
      <c r="N60" s="11"/>
      <c r="O60" s="11"/>
      <c r="P60" s="10"/>
      <c r="Q60" s="10" t="s">
        <v>291</v>
      </c>
      <c r="R60" s="10" t="s">
        <v>1294</v>
      </c>
    </row>
    <row r="61" ht="133" customHeight="1" spans="1:18">
      <c r="A61" s="3" t="s">
        <v>709</v>
      </c>
      <c r="B61" s="3" t="s">
        <v>71</v>
      </c>
      <c r="C61" s="3" t="s">
        <v>710</v>
      </c>
      <c r="D61" s="9">
        <f>IF(OR(VLOOKUP(A61,'03 诊断评分'!$A$6:$X$89,16,FALSE)="已评分",VLOOKUP(A61,'03 诊断评分'!$A$6:$X$89,16,FALSE)="资料已判定"),VLOOKUP(A61,'03 诊断评分'!$A$6:$X$89,7,FALSE),"")</f>
        <v>2</v>
      </c>
      <c r="E61" s="9">
        <f>IF(VLOOKUP(A61,'03 诊断评分'!$A$6:$X$89,19,FALSE)="","",VLOOKUP(A61,'03 诊断评分'!$A$6:$X$89,8,FALSE))</f>
        <v>3</v>
      </c>
      <c r="F61" s="9">
        <f>IF(VLOOKUP(A61,'03 诊断评分'!$A$6:$X$89,19,FALSE)="","",VLOOKUP(A61,'03 诊断评分'!$A$6:$X$89,19,FALSE))</f>
        <v>1</v>
      </c>
      <c r="G61" s="9" t="str">
        <f>VLOOKUP(A61,'03 诊断评分'!$A$6:$X$89,20,FALSE)</f>
        <v>低：持续改善</v>
      </c>
      <c r="H61" s="10"/>
      <c r="I61" s="3" t="s">
        <v>719</v>
      </c>
      <c r="J61" s="10" t="s">
        <v>1405</v>
      </c>
      <c r="K61" s="10" t="s">
        <v>1413</v>
      </c>
      <c r="L61" s="10" t="s">
        <v>1414</v>
      </c>
      <c r="M61" s="10"/>
      <c r="N61" s="11"/>
      <c r="O61" s="11"/>
      <c r="P61" s="10"/>
      <c r="Q61" s="10" t="s">
        <v>291</v>
      </c>
      <c r="R61" s="10" t="s">
        <v>1290</v>
      </c>
    </row>
    <row r="62" ht="133" customHeight="1" spans="1:18">
      <c r="A62" s="3" t="s">
        <v>720</v>
      </c>
      <c r="B62" s="3" t="s">
        <v>71</v>
      </c>
      <c r="C62" s="3" t="s">
        <v>721</v>
      </c>
      <c r="D62" s="9">
        <f>IF(OR(VLOOKUP(A62,'03 诊断评分'!$A$6:$X$89,16,FALSE)="已评分",VLOOKUP(A62,'03 诊断评分'!$A$6:$X$89,16,FALSE)="资料已判定"),VLOOKUP(A62,'03 诊断评分'!$A$6:$X$89,7,FALSE),"")</f>
        <v>1</v>
      </c>
      <c r="E62" s="9">
        <f>IF(VLOOKUP(A62,'03 诊断评分'!$A$6:$X$89,19,FALSE)="","",VLOOKUP(A62,'03 诊断评分'!$A$6:$X$89,8,FALSE))</f>
        <v>3</v>
      </c>
      <c r="F62" s="9">
        <f>IF(VLOOKUP(A62,'03 诊断评分'!$A$6:$X$89,19,FALSE)="","",VLOOKUP(A62,'03 诊断评分'!$A$6:$X$89,19,FALSE))</f>
        <v>2</v>
      </c>
      <c r="G62" s="9" t="str">
        <f>VLOOKUP(A62,'03 诊断评分'!$A$6:$X$89,20,FALSE)</f>
        <v>中：能力提升</v>
      </c>
      <c r="H62" s="10" t="s">
        <v>1410</v>
      </c>
      <c r="I62" s="3" t="s">
        <v>730</v>
      </c>
      <c r="J62" s="10" t="s">
        <v>1405</v>
      </c>
      <c r="K62" s="10" t="s">
        <v>1415</v>
      </c>
      <c r="L62" s="10" t="s">
        <v>1416</v>
      </c>
      <c r="M62" s="10"/>
      <c r="N62" s="11"/>
      <c r="O62" s="11"/>
      <c r="P62" s="10"/>
      <c r="Q62" s="10" t="s">
        <v>291</v>
      </c>
      <c r="R62" s="10" t="s">
        <v>1294</v>
      </c>
    </row>
    <row r="63" ht="133" customHeight="1" spans="1:18">
      <c r="A63" s="3" t="s">
        <v>731</v>
      </c>
      <c r="B63" s="3" t="s">
        <v>71</v>
      </c>
      <c r="C63" s="3" t="s">
        <v>732</v>
      </c>
      <c r="D63" s="9">
        <f>IF(OR(VLOOKUP(A63,'03 诊断评分'!$A$6:$X$89,16,FALSE)="已评分",VLOOKUP(A63,'03 诊断评分'!$A$6:$X$89,16,FALSE)="资料已判定"),VLOOKUP(A63,'03 诊断评分'!$A$6:$X$89,7,FALSE),"")</f>
        <v>1</v>
      </c>
      <c r="E63" s="9">
        <f>IF(VLOOKUP(A63,'03 诊断评分'!$A$6:$X$89,19,FALSE)="","",VLOOKUP(A63,'03 诊断评分'!$A$6:$X$89,8,FALSE))</f>
        <v>3</v>
      </c>
      <c r="F63" s="9">
        <f>IF(VLOOKUP(A63,'03 诊断评分'!$A$6:$X$89,19,FALSE)="","",VLOOKUP(A63,'03 诊断评分'!$A$6:$X$89,19,FALSE))</f>
        <v>2</v>
      </c>
      <c r="G63" s="9" t="str">
        <f>VLOOKUP(A63,'03 诊断评分'!$A$6:$X$89,20,FALSE)</f>
        <v>中：能力提升</v>
      </c>
      <c r="H63" s="10"/>
      <c r="I63" s="3" t="s">
        <v>741</v>
      </c>
      <c r="J63" s="10" t="s">
        <v>1405</v>
      </c>
      <c r="K63" s="10" t="s">
        <v>1417</v>
      </c>
      <c r="L63" s="10" t="s">
        <v>1418</v>
      </c>
      <c r="M63" s="10"/>
      <c r="N63" s="11"/>
      <c r="O63" s="11"/>
      <c r="P63" s="10"/>
      <c r="Q63" s="10" t="s">
        <v>291</v>
      </c>
      <c r="R63" s="10" t="s">
        <v>1290</v>
      </c>
    </row>
    <row r="64" ht="133" customHeight="1" spans="1:18">
      <c r="A64" s="3" t="s">
        <v>742</v>
      </c>
      <c r="B64" s="3" t="s">
        <v>71</v>
      </c>
      <c r="C64" s="3" t="s">
        <v>743</v>
      </c>
      <c r="D64" s="9">
        <f>IF(OR(VLOOKUP(A64,'03 诊断评分'!$A$6:$X$89,16,FALSE)="已评分",VLOOKUP(A64,'03 诊断评分'!$A$6:$X$89,16,FALSE)="资料已判定"),VLOOKUP(A64,'03 诊断评分'!$A$6:$X$89,7,FALSE),"")</f>
        <v>1</v>
      </c>
      <c r="E64" s="9">
        <f>IF(VLOOKUP(A64,'03 诊断评分'!$A$6:$X$89,19,FALSE)="","",VLOOKUP(A64,'03 诊断评分'!$A$6:$X$89,8,FALSE))</f>
        <v>3</v>
      </c>
      <c r="F64" s="9">
        <f>IF(VLOOKUP(A64,'03 诊断评分'!$A$6:$X$89,19,FALSE)="","",VLOOKUP(A64,'03 诊断评分'!$A$6:$X$89,19,FALSE))</f>
        <v>2</v>
      </c>
      <c r="G64" s="9" t="str">
        <f>VLOOKUP(A64,'03 诊断评分'!$A$6:$X$89,20,FALSE)</f>
        <v>中：能力提升</v>
      </c>
      <c r="H64" s="10"/>
      <c r="I64" s="3" t="s">
        <v>752</v>
      </c>
      <c r="J64" s="10" t="s">
        <v>1405</v>
      </c>
      <c r="K64" s="10" t="s">
        <v>1419</v>
      </c>
      <c r="L64" s="10" t="s">
        <v>1420</v>
      </c>
      <c r="M64" s="10"/>
      <c r="N64" s="11"/>
      <c r="O64" s="11"/>
      <c r="P64" s="10"/>
      <c r="Q64" s="10" t="s">
        <v>291</v>
      </c>
      <c r="R64" s="10" t="s">
        <v>1290</v>
      </c>
    </row>
    <row r="65" ht="133" customHeight="1" spans="1:18">
      <c r="A65" s="3" t="s">
        <v>753</v>
      </c>
      <c r="B65" s="3" t="s">
        <v>71</v>
      </c>
      <c r="C65" s="3" t="s">
        <v>754</v>
      </c>
      <c r="D65" s="9">
        <f>IF(OR(VLOOKUP(A65,'03 诊断评分'!$A$6:$X$89,16,FALSE)="已评分",VLOOKUP(A65,'03 诊断评分'!$A$6:$X$89,16,FALSE)="资料已判定"),VLOOKUP(A65,'03 诊断评分'!$A$6:$X$89,7,FALSE),"")</f>
        <v>1</v>
      </c>
      <c r="E65" s="9">
        <f>IF(VLOOKUP(A65,'03 诊断评分'!$A$6:$X$89,19,FALSE)="","",VLOOKUP(A65,'03 诊断评分'!$A$6:$X$89,8,FALSE))</f>
        <v>3</v>
      </c>
      <c r="F65" s="9">
        <f>IF(VLOOKUP(A65,'03 诊断评分'!$A$6:$X$89,19,FALSE)="","",VLOOKUP(A65,'03 诊断评分'!$A$6:$X$89,19,FALSE))</f>
        <v>2</v>
      </c>
      <c r="G65" s="9" t="str">
        <f>VLOOKUP(A65,'03 诊断评分'!$A$6:$X$89,20,FALSE)</f>
        <v>中：能力提升</v>
      </c>
      <c r="H65" s="10"/>
      <c r="I65" s="3" t="s">
        <v>763</v>
      </c>
      <c r="J65" s="10" t="s">
        <v>1405</v>
      </c>
      <c r="K65" s="10" t="s">
        <v>1421</v>
      </c>
      <c r="L65" s="10" t="s">
        <v>1422</v>
      </c>
      <c r="M65" s="10"/>
      <c r="N65" s="11"/>
      <c r="O65" s="11"/>
      <c r="P65" s="10"/>
      <c r="Q65" s="10" t="s">
        <v>291</v>
      </c>
      <c r="R65" s="10" t="s">
        <v>1290</v>
      </c>
    </row>
    <row r="66" ht="133" customHeight="1" spans="1:18">
      <c r="A66" s="3" t="s">
        <v>764</v>
      </c>
      <c r="B66" s="3" t="s">
        <v>72</v>
      </c>
      <c r="C66" s="3" t="s">
        <v>765</v>
      </c>
      <c r="D66" s="9">
        <f>IF(OR(VLOOKUP(A66,'03 诊断评分'!$A$6:$X$89,16,FALSE)="已评分",VLOOKUP(A66,'03 诊断评分'!$A$6:$X$89,16,FALSE)="资料已判定"),VLOOKUP(A66,'03 诊断评分'!$A$6:$X$89,7,FALSE),"")</f>
        <v>2</v>
      </c>
      <c r="E66" s="9">
        <f>IF(VLOOKUP(A66,'03 诊断评分'!$A$6:$X$89,19,FALSE)="","",VLOOKUP(A66,'03 诊断评分'!$A$6:$X$89,8,FALSE))</f>
        <v>2</v>
      </c>
      <c r="F66" s="9">
        <f>IF(VLOOKUP(A66,'03 诊断评分'!$A$6:$X$89,19,FALSE)="","",VLOOKUP(A66,'03 诊断评分'!$A$6:$X$89,19,FALSE))</f>
        <v>0</v>
      </c>
      <c r="G66" s="9" t="str">
        <f>VLOOKUP(A66,'03 诊断评分'!$A$6:$X$89,20,FALSE)</f>
        <v>保持/持续验证</v>
      </c>
      <c r="H66" s="10"/>
      <c r="I66" s="3" t="s">
        <v>775</v>
      </c>
      <c r="J66" s="10" t="s">
        <v>1423</v>
      </c>
      <c r="K66" s="10" t="s">
        <v>1424</v>
      </c>
      <c r="L66" s="10" t="s">
        <v>1425</v>
      </c>
      <c r="M66" s="10"/>
      <c r="N66" s="11"/>
      <c r="O66" s="11"/>
      <c r="P66" s="10"/>
      <c r="Q66" s="10" t="s">
        <v>291</v>
      </c>
      <c r="R66" s="10" t="s">
        <v>1290</v>
      </c>
    </row>
    <row r="67" ht="133" customHeight="1" spans="1:18">
      <c r="A67" s="3" t="s">
        <v>776</v>
      </c>
      <c r="B67" s="3" t="s">
        <v>72</v>
      </c>
      <c r="C67" s="3" t="s">
        <v>777</v>
      </c>
      <c r="D67" s="9">
        <f>IF(OR(VLOOKUP(A67,'03 诊断评分'!$A$6:$X$89,16,FALSE)="已评分",VLOOKUP(A67,'03 诊断评分'!$A$6:$X$89,16,FALSE)="资料已判定"),VLOOKUP(A67,'03 诊断评分'!$A$6:$X$89,7,FALSE),"")</f>
        <v>2</v>
      </c>
      <c r="E67" s="9">
        <f>IF(VLOOKUP(A67,'03 诊断评分'!$A$6:$X$89,19,FALSE)="","",VLOOKUP(A67,'03 诊断评分'!$A$6:$X$89,8,FALSE))</f>
        <v>3</v>
      </c>
      <c r="F67" s="9">
        <f>IF(VLOOKUP(A67,'03 诊断评分'!$A$6:$X$89,19,FALSE)="","",VLOOKUP(A67,'03 诊断评分'!$A$6:$X$89,19,FALSE))</f>
        <v>1</v>
      </c>
      <c r="G67" s="9" t="str">
        <f>VLOOKUP(A67,'03 诊断评分'!$A$6:$X$89,20,FALSE)</f>
        <v>高：关键基础补齐</v>
      </c>
      <c r="H67" s="10"/>
      <c r="I67" s="3" t="s">
        <v>786</v>
      </c>
      <c r="J67" s="10" t="s">
        <v>1423</v>
      </c>
      <c r="K67" s="10" t="s">
        <v>1426</v>
      </c>
      <c r="L67" s="10" t="s">
        <v>1427</v>
      </c>
      <c r="M67" s="10"/>
      <c r="N67" s="11"/>
      <c r="O67" s="11"/>
      <c r="P67" s="10"/>
      <c r="Q67" s="10" t="s">
        <v>291</v>
      </c>
      <c r="R67" s="10" t="s">
        <v>1290</v>
      </c>
    </row>
    <row r="68" ht="133" customHeight="1" spans="1:18">
      <c r="A68" s="3" t="s">
        <v>787</v>
      </c>
      <c r="B68" s="3" t="s">
        <v>72</v>
      </c>
      <c r="C68" s="3" t="s">
        <v>788</v>
      </c>
      <c r="D68" s="9">
        <f>IF(OR(VLOOKUP(A68,'03 诊断评分'!$A$6:$X$89,16,FALSE)="已评分",VLOOKUP(A68,'03 诊断评分'!$A$6:$X$89,16,FALSE)="资料已判定"),VLOOKUP(A68,'03 诊断评分'!$A$6:$X$89,7,FALSE),"")</f>
        <v>0</v>
      </c>
      <c r="E68" s="9">
        <f>IF(VLOOKUP(A68,'03 诊断评分'!$A$6:$X$89,19,FALSE)="","",VLOOKUP(A68,'03 诊断评分'!$A$6:$X$89,8,FALSE))</f>
        <v>3</v>
      </c>
      <c r="F68" s="9">
        <f>IF(VLOOKUP(A68,'03 诊断评分'!$A$6:$X$89,19,FALSE)="","",VLOOKUP(A68,'03 诊断评分'!$A$6:$X$89,19,FALSE))</f>
        <v>3</v>
      </c>
      <c r="G68" s="9" t="str">
        <f>VLOOKUP(A68,'03 诊断评分'!$A$6:$X$89,20,FALSE)</f>
        <v>高：业务改善</v>
      </c>
      <c r="H68" s="10" t="s">
        <v>1428</v>
      </c>
      <c r="I68" s="3" t="s">
        <v>797</v>
      </c>
      <c r="J68" s="10" t="s">
        <v>1423</v>
      </c>
      <c r="K68" s="10" t="s">
        <v>1429</v>
      </c>
      <c r="L68" s="10" t="s">
        <v>1430</v>
      </c>
      <c r="M68" s="10"/>
      <c r="N68" s="11"/>
      <c r="O68" s="11"/>
      <c r="P68" s="10"/>
      <c r="Q68" s="10" t="s">
        <v>291</v>
      </c>
      <c r="R68" s="10" t="s">
        <v>1294</v>
      </c>
    </row>
    <row r="69" ht="133" customHeight="1" spans="1:18">
      <c r="A69" s="3" t="s">
        <v>798</v>
      </c>
      <c r="B69" s="3" t="s">
        <v>72</v>
      </c>
      <c r="C69" s="3" t="s">
        <v>799</v>
      </c>
      <c r="D69" s="9">
        <f>IF(OR(VLOOKUP(A69,'03 诊断评分'!$A$6:$X$89,16,FALSE)="已评分",VLOOKUP(A69,'03 诊断评分'!$A$6:$X$89,16,FALSE)="资料已判定"),VLOOKUP(A69,'03 诊断评分'!$A$6:$X$89,7,FALSE),"")</f>
        <v>1</v>
      </c>
      <c r="E69" s="9">
        <f>IF(VLOOKUP(A69,'03 诊断评分'!$A$6:$X$89,19,FALSE)="","",VLOOKUP(A69,'03 诊断评分'!$A$6:$X$89,8,FALSE))</f>
        <v>3</v>
      </c>
      <c r="F69" s="9">
        <f>IF(VLOOKUP(A69,'03 诊断评分'!$A$6:$X$89,19,FALSE)="","",VLOOKUP(A69,'03 诊断评分'!$A$6:$X$89,19,FALSE))</f>
        <v>2</v>
      </c>
      <c r="G69" s="9" t="str">
        <f>VLOOKUP(A69,'03 诊断评分'!$A$6:$X$89,20,FALSE)</f>
        <v>高：关键基础补齐</v>
      </c>
      <c r="H69" s="10"/>
      <c r="I69" s="3" t="s">
        <v>808</v>
      </c>
      <c r="J69" s="10" t="s">
        <v>1423</v>
      </c>
      <c r="K69" s="10" t="s">
        <v>1431</v>
      </c>
      <c r="L69" s="10" t="s">
        <v>1432</v>
      </c>
      <c r="M69" s="10"/>
      <c r="N69" s="11"/>
      <c r="O69" s="11"/>
      <c r="P69" s="10"/>
      <c r="Q69" s="10" t="s">
        <v>291</v>
      </c>
      <c r="R69" s="10" t="s">
        <v>1290</v>
      </c>
    </row>
    <row r="70" ht="133" customHeight="1" spans="1:18">
      <c r="A70" s="3" t="s">
        <v>809</v>
      </c>
      <c r="B70" s="3" t="s">
        <v>72</v>
      </c>
      <c r="C70" s="3" t="s">
        <v>810</v>
      </c>
      <c r="D70" s="9">
        <f>IF(OR(VLOOKUP(A70,'03 诊断评分'!$A$6:$X$89,16,FALSE)="已评分",VLOOKUP(A70,'03 诊断评分'!$A$6:$X$89,16,FALSE)="资料已判定"),VLOOKUP(A70,'03 诊断评分'!$A$6:$X$89,7,FALSE),"")</f>
        <v>1</v>
      </c>
      <c r="E70" s="9">
        <f>IF(VLOOKUP(A70,'03 诊断评分'!$A$6:$X$89,19,FALSE)="","",VLOOKUP(A70,'03 诊断评分'!$A$6:$X$89,8,FALSE))</f>
        <v>4</v>
      </c>
      <c r="F70" s="9">
        <f>IF(VLOOKUP(A70,'03 诊断评分'!$A$6:$X$89,19,FALSE)="","",VLOOKUP(A70,'03 诊断评分'!$A$6:$X$89,19,FALSE))</f>
        <v>3</v>
      </c>
      <c r="G70" s="9" t="str">
        <f>VLOOKUP(A70,'03 诊断评分'!$A$6:$X$89,20,FALSE)</f>
        <v>高：业务改善</v>
      </c>
      <c r="H70" s="10"/>
      <c r="I70" s="3" t="s">
        <v>819</v>
      </c>
      <c r="J70" s="10" t="s">
        <v>1423</v>
      </c>
      <c r="K70" s="10" t="s">
        <v>1433</v>
      </c>
      <c r="L70" s="10" t="s">
        <v>1434</v>
      </c>
      <c r="M70" s="10"/>
      <c r="N70" s="11"/>
      <c r="O70" s="11"/>
      <c r="P70" s="10"/>
      <c r="Q70" s="10" t="s">
        <v>291</v>
      </c>
      <c r="R70" s="10" t="s">
        <v>1290</v>
      </c>
    </row>
    <row r="71" ht="133" customHeight="1" spans="1:18">
      <c r="A71" s="3" t="s">
        <v>820</v>
      </c>
      <c r="B71" s="3" t="s">
        <v>72</v>
      </c>
      <c r="C71" s="3" t="s">
        <v>821</v>
      </c>
      <c r="D71" s="9" t="str">
        <f>IF(OR(VLOOKUP(A71,'03 诊断评分'!$A$6:$X$89,16,FALSE)="已评分",VLOOKUP(A71,'03 诊断评分'!$A$6:$X$89,16,FALSE)="资料已判定"),VLOOKUP(A71,'03 诊断评分'!$A$6:$X$89,7,FALSE),"")</f>
        <v/>
      </c>
      <c r="E71" s="9" t="str">
        <f>IF(VLOOKUP(A71,'03 诊断评分'!$A$6:$X$89,19,FALSE)="","",VLOOKUP(A71,'03 诊断评分'!$A$6:$X$89,8,FALSE))</f>
        <v/>
      </c>
      <c r="F71" s="9" t="str">
        <f>IF(VLOOKUP(A71,'03 诊断评分'!$A$6:$X$89,19,FALSE)="","",VLOOKUP(A71,'03 诊断评分'!$A$6:$X$89,19,FALSE))</f>
        <v/>
      </c>
      <c r="G71" s="9" t="str">
        <f>VLOOKUP(A71,'03 诊断评分'!$A$6:$X$89,20,FALSE)</f>
        <v>不适用</v>
      </c>
      <c r="H71" s="10"/>
      <c r="I71" s="3" t="s">
        <v>830</v>
      </c>
      <c r="J71" s="10" t="s">
        <v>1423</v>
      </c>
      <c r="K71" s="10" t="s">
        <v>1435</v>
      </c>
      <c r="L71" s="10" t="s">
        <v>1436</v>
      </c>
      <c r="M71" s="10"/>
      <c r="N71" s="11"/>
      <c r="O71" s="11"/>
      <c r="P71" s="10"/>
      <c r="Q71" s="10" t="s">
        <v>291</v>
      </c>
      <c r="R71" s="10" t="s">
        <v>1290</v>
      </c>
    </row>
    <row r="72" ht="133" customHeight="1" spans="1:18">
      <c r="A72" s="3" t="s">
        <v>831</v>
      </c>
      <c r="B72" s="3" t="s">
        <v>72</v>
      </c>
      <c r="C72" s="3" t="s">
        <v>832</v>
      </c>
      <c r="D72" s="9" t="str">
        <f>IF(OR(VLOOKUP(A72,'03 诊断评分'!$A$6:$X$89,16,FALSE)="已评分",VLOOKUP(A72,'03 诊断评分'!$A$6:$X$89,16,FALSE)="资料已判定"),VLOOKUP(A72,'03 诊断评分'!$A$6:$X$89,7,FALSE),"")</f>
        <v/>
      </c>
      <c r="E72" s="9" t="str">
        <f>IF(VLOOKUP(A72,'03 诊断评分'!$A$6:$X$89,19,FALSE)="","",VLOOKUP(A72,'03 诊断评分'!$A$6:$X$89,8,FALSE))</f>
        <v/>
      </c>
      <c r="F72" s="9" t="str">
        <f>IF(VLOOKUP(A72,'03 诊断评分'!$A$6:$X$89,19,FALSE)="","",VLOOKUP(A72,'03 诊断评分'!$A$6:$X$89,19,FALSE))</f>
        <v/>
      </c>
      <c r="G72" s="9" t="str">
        <f>VLOOKUP(A72,'03 诊断评分'!$A$6:$X$89,20,FALSE)</f>
        <v>不适用</v>
      </c>
      <c r="H72" s="10" t="s">
        <v>1428</v>
      </c>
      <c r="I72" s="3" t="s">
        <v>841</v>
      </c>
      <c r="J72" s="10" t="s">
        <v>1423</v>
      </c>
      <c r="K72" s="10" t="s">
        <v>1437</v>
      </c>
      <c r="L72" s="10" t="s">
        <v>1438</v>
      </c>
      <c r="M72" s="10"/>
      <c r="N72" s="11"/>
      <c r="O72" s="11"/>
      <c r="P72" s="10"/>
      <c r="Q72" s="10" t="s">
        <v>291</v>
      </c>
      <c r="R72" s="10" t="s">
        <v>1294</v>
      </c>
    </row>
    <row r="73" ht="133" customHeight="1" spans="1:18">
      <c r="A73" s="3" t="s">
        <v>842</v>
      </c>
      <c r="B73" s="3" t="s">
        <v>72</v>
      </c>
      <c r="C73" s="3" t="s">
        <v>843</v>
      </c>
      <c r="D73" s="9" t="str">
        <f>IF(OR(VLOOKUP(A73,'03 诊断评分'!$A$6:$X$89,16,FALSE)="已评分",VLOOKUP(A73,'03 诊断评分'!$A$6:$X$89,16,FALSE)="资料已判定"),VLOOKUP(A73,'03 诊断评分'!$A$6:$X$89,7,FALSE),"")</f>
        <v/>
      </c>
      <c r="E73" s="9" t="str">
        <f>IF(VLOOKUP(A73,'03 诊断评分'!$A$6:$X$89,19,FALSE)="","",VLOOKUP(A73,'03 诊断评分'!$A$6:$X$89,8,FALSE))</f>
        <v/>
      </c>
      <c r="F73" s="9" t="str">
        <f>IF(VLOOKUP(A73,'03 诊断评分'!$A$6:$X$89,19,FALSE)="","",VLOOKUP(A73,'03 诊断评分'!$A$6:$X$89,19,FALSE))</f>
        <v/>
      </c>
      <c r="G73" s="9" t="str">
        <f>VLOOKUP(A73,'03 诊断评分'!$A$6:$X$89,20,FALSE)</f>
        <v>不适用</v>
      </c>
      <c r="H73" s="10"/>
      <c r="I73" s="3" t="s">
        <v>852</v>
      </c>
      <c r="J73" s="10" t="s">
        <v>1423</v>
      </c>
      <c r="K73" s="10" t="s">
        <v>1439</v>
      </c>
      <c r="L73" s="10" t="s">
        <v>1440</v>
      </c>
      <c r="M73" s="10"/>
      <c r="N73" s="11"/>
      <c r="O73" s="11"/>
      <c r="P73" s="10"/>
      <c r="Q73" s="10" t="s">
        <v>291</v>
      </c>
      <c r="R73" s="10" t="s">
        <v>1290</v>
      </c>
    </row>
    <row r="74" ht="133" customHeight="1" spans="1:18">
      <c r="A74" s="3" t="s">
        <v>853</v>
      </c>
      <c r="B74" s="3" t="s">
        <v>73</v>
      </c>
      <c r="C74" s="3" t="s">
        <v>854</v>
      </c>
      <c r="D74" s="9">
        <f>IF(OR(VLOOKUP(A74,'03 诊断评分'!$A$6:$X$89,16,FALSE)="已评分",VLOOKUP(A74,'03 诊断评分'!$A$6:$X$89,16,FALSE)="资料已判定"),VLOOKUP(A74,'03 诊断评分'!$A$6:$X$89,7,FALSE),"")</f>
        <v>1</v>
      </c>
      <c r="E74" s="9">
        <f>IF(VLOOKUP(A74,'03 诊断评分'!$A$6:$X$89,19,FALSE)="","",VLOOKUP(A74,'03 诊断评分'!$A$6:$X$89,8,FALSE))</f>
        <v>3</v>
      </c>
      <c r="F74" s="9">
        <f>IF(VLOOKUP(A74,'03 诊断评分'!$A$6:$X$89,19,FALSE)="","",VLOOKUP(A74,'03 诊断评分'!$A$6:$X$89,19,FALSE))</f>
        <v>2</v>
      </c>
      <c r="G74" s="9" t="str">
        <f>VLOOKUP(A74,'03 诊断评分'!$A$6:$X$89,20,FALSE)</f>
        <v>高：关键基础补齐</v>
      </c>
      <c r="H74" s="10" t="s">
        <v>1441</v>
      </c>
      <c r="I74" s="3" t="s">
        <v>864</v>
      </c>
      <c r="J74" s="10" t="s">
        <v>1442</v>
      </c>
      <c r="K74" s="10" t="s">
        <v>1443</v>
      </c>
      <c r="L74" s="10" t="s">
        <v>1444</v>
      </c>
      <c r="M74" s="10"/>
      <c r="N74" s="11"/>
      <c r="O74" s="11"/>
      <c r="P74" s="10"/>
      <c r="Q74" s="10" t="s">
        <v>114</v>
      </c>
      <c r="R74" s="10" t="s">
        <v>1294</v>
      </c>
    </row>
    <row r="75" ht="133" customHeight="1" spans="1:18">
      <c r="A75" s="3" t="s">
        <v>865</v>
      </c>
      <c r="B75" s="3" t="s">
        <v>73</v>
      </c>
      <c r="C75" s="3" t="s">
        <v>866</v>
      </c>
      <c r="D75" s="9">
        <f>IF(OR(VLOOKUP(A75,'03 诊断评分'!$A$6:$X$89,16,FALSE)="已评分",VLOOKUP(A75,'03 诊断评分'!$A$6:$X$89,16,FALSE)="资料已判定"),VLOOKUP(A75,'03 诊断评分'!$A$6:$X$89,7,FALSE),"")</f>
        <v>1</v>
      </c>
      <c r="E75" s="9">
        <f>IF(VLOOKUP(A75,'03 诊断评分'!$A$6:$X$89,19,FALSE)="","",VLOOKUP(A75,'03 诊断评分'!$A$6:$X$89,8,FALSE))</f>
        <v>3</v>
      </c>
      <c r="F75" s="9">
        <f>IF(VLOOKUP(A75,'03 诊断评分'!$A$6:$X$89,19,FALSE)="","",VLOOKUP(A75,'03 诊断评分'!$A$6:$X$89,19,FALSE))</f>
        <v>2</v>
      </c>
      <c r="G75" s="9" t="str">
        <f>VLOOKUP(A75,'03 诊断评分'!$A$6:$X$89,20,FALSE)</f>
        <v>高：关键基础补齐</v>
      </c>
      <c r="H75" s="10" t="s">
        <v>1441</v>
      </c>
      <c r="I75" s="3" t="s">
        <v>875</v>
      </c>
      <c r="J75" s="10" t="s">
        <v>1442</v>
      </c>
      <c r="K75" s="10" t="s">
        <v>1445</v>
      </c>
      <c r="L75" s="10" t="s">
        <v>1446</v>
      </c>
      <c r="M75" s="10"/>
      <c r="N75" s="11"/>
      <c r="O75" s="11"/>
      <c r="P75" s="10"/>
      <c r="Q75" s="10" t="s">
        <v>114</v>
      </c>
      <c r="R75" s="10" t="s">
        <v>1294</v>
      </c>
    </row>
    <row r="76" ht="133" customHeight="1" spans="1:18">
      <c r="A76" s="3" t="s">
        <v>876</v>
      </c>
      <c r="B76" s="3" t="s">
        <v>73</v>
      </c>
      <c r="C76" s="3" t="s">
        <v>877</v>
      </c>
      <c r="D76" s="9">
        <f>IF(OR(VLOOKUP(A76,'03 诊断评分'!$A$6:$X$89,16,FALSE)="已评分",VLOOKUP(A76,'03 诊断评分'!$A$6:$X$89,16,FALSE)="资料已判定"),VLOOKUP(A76,'03 诊断评分'!$A$6:$X$89,7,FALSE),"")</f>
        <v>1</v>
      </c>
      <c r="E76" s="9">
        <f>IF(VLOOKUP(A76,'03 诊断评分'!$A$6:$X$89,19,FALSE)="","",VLOOKUP(A76,'03 诊断评分'!$A$6:$X$89,8,FALSE))</f>
        <v>3</v>
      </c>
      <c r="F76" s="9">
        <f>IF(VLOOKUP(A76,'03 诊断评分'!$A$6:$X$89,19,FALSE)="","",VLOOKUP(A76,'03 诊断评分'!$A$6:$X$89,19,FALSE))</f>
        <v>2</v>
      </c>
      <c r="G76" s="9" t="str">
        <f>VLOOKUP(A76,'03 诊断评分'!$A$6:$X$89,20,FALSE)</f>
        <v>高：关键基础补齐</v>
      </c>
      <c r="H76" s="10"/>
      <c r="I76" s="3" t="s">
        <v>886</v>
      </c>
      <c r="J76" s="10" t="s">
        <v>1442</v>
      </c>
      <c r="K76" s="10" t="s">
        <v>1447</v>
      </c>
      <c r="L76" s="10" t="s">
        <v>1448</v>
      </c>
      <c r="M76" s="10"/>
      <c r="N76" s="11"/>
      <c r="O76" s="11"/>
      <c r="P76" s="10"/>
      <c r="Q76" s="10" t="s">
        <v>114</v>
      </c>
      <c r="R76" s="10" t="s">
        <v>1290</v>
      </c>
    </row>
    <row r="77" ht="133" customHeight="1" spans="1:18">
      <c r="A77" s="3" t="s">
        <v>887</v>
      </c>
      <c r="B77" s="3" t="s">
        <v>73</v>
      </c>
      <c r="C77" s="3" t="s">
        <v>888</v>
      </c>
      <c r="D77" s="9">
        <f>IF(OR(VLOOKUP(A77,'03 诊断评分'!$A$6:$X$89,16,FALSE)="已评分",VLOOKUP(A77,'03 诊断评分'!$A$6:$X$89,16,FALSE)="资料已判定"),VLOOKUP(A77,'03 诊断评分'!$A$6:$X$89,7,FALSE),"")</f>
        <v>0</v>
      </c>
      <c r="E77" s="9">
        <f>IF(VLOOKUP(A77,'03 诊断评分'!$A$6:$X$89,19,FALSE)="","",VLOOKUP(A77,'03 诊断评分'!$A$6:$X$89,8,FALSE))</f>
        <v>2</v>
      </c>
      <c r="F77" s="9">
        <f>IF(VLOOKUP(A77,'03 诊断评分'!$A$6:$X$89,19,FALSE)="","",VLOOKUP(A77,'03 诊断评分'!$A$6:$X$89,19,FALSE))</f>
        <v>2</v>
      </c>
      <c r="G77" s="9" t="str">
        <f>VLOOKUP(A77,'03 诊断评分'!$A$6:$X$89,20,FALSE)</f>
        <v>高：关键基础补齐</v>
      </c>
      <c r="H77" s="10"/>
      <c r="I77" s="3" t="s">
        <v>897</v>
      </c>
      <c r="J77" s="10" t="s">
        <v>1442</v>
      </c>
      <c r="K77" s="10" t="s">
        <v>1449</v>
      </c>
      <c r="L77" s="10" t="s">
        <v>1450</v>
      </c>
      <c r="M77" s="10"/>
      <c r="N77" s="11"/>
      <c r="O77" s="11"/>
      <c r="P77" s="10"/>
      <c r="Q77" s="10" t="s">
        <v>114</v>
      </c>
      <c r="R77" s="10" t="s">
        <v>1290</v>
      </c>
    </row>
    <row r="78" ht="133" customHeight="1" spans="1:18">
      <c r="A78" s="3" t="s">
        <v>898</v>
      </c>
      <c r="B78" s="3" t="s">
        <v>73</v>
      </c>
      <c r="C78" s="3" t="s">
        <v>899</v>
      </c>
      <c r="D78" s="9" t="str">
        <f>IF(OR(VLOOKUP(A78,'03 诊断评分'!$A$6:$X$89,16,FALSE)="已评分",VLOOKUP(A78,'03 诊断评分'!$A$6:$X$89,16,FALSE)="资料已判定"),VLOOKUP(A78,'03 诊断评分'!$A$6:$X$89,7,FALSE),"")</f>
        <v/>
      </c>
      <c r="E78" s="9" t="str">
        <f>IF(VLOOKUP(A78,'03 诊断评分'!$A$6:$X$89,19,FALSE)="","",VLOOKUP(A78,'03 诊断评分'!$A$6:$X$89,8,FALSE))</f>
        <v/>
      </c>
      <c r="F78" s="9" t="str">
        <f>IF(VLOOKUP(A78,'03 诊断评分'!$A$6:$X$89,19,FALSE)="","",VLOOKUP(A78,'03 诊断评分'!$A$6:$X$89,19,FALSE))</f>
        <v/>
      </c>
      <c r="G78" s="9" t="str">
        <f>VLOOKUP(A78,'03 诊断评分'!$A$6:$X$89,20,FALSE)</f>
        <v>不适用</v>
      </c>
      <c r="H78" s="10"/>
      <c r="I78" s="3" t="s">
        <v>908</v>
      </c>
      <c r="J78" s="10" t="s">
        <v>1442</v>
      </c>
      <c r="K78" s="10" t="s">
        <v>1451</v>
      </c>
      <c r="L78" s="10" t="s">
        <v>1452</v>
      </c>
      <c r="M78" s="10"/>
      <c r="N78" s="11"/>
      <c r="O78" s="11"/>
      <c r="P78" s="10"/>
      <c r="Q78" s="10" t="s">
        <v>114</v>
      </c>
      <c r="R78" s="10" t="s">
        <v>1290</v>
      </c>
    </row>
    <row r="79" ht="133" customHeight="1" spans="1:18">
      <c r="A79" s="3" t="s">
        <v>909</v>
      </c>
      <c r="B79" s="3" t="s">
        <v>73</v>
      </c>
      <c r="C79" s="3" t="s">
        <v>910</v>
      </c>
      <c r="D79" s="9">
        <f>IF(OR(VLOOKUP(A79,'03 诊断评分'!$A$6:$X$89,16,FALSE)="已评分",VLOOKUP(A79,'03 诊断评分'!$A$6:$X$89,16,FALSE)="资料已判定"),VLOOKUP(A79,'03 诊断评分'!$A$6:$X$89,7,FALSE),"")</f>
        <v>0</v>
      </c>
      <c r="E79" s="9">
        <f>IF(VLOOKUP(A79,'03 诊断评分'!$A$6:$X$89,19,FALSE)="","",VLOOKUP(A79,'03 诊断评分'!$A$6:$X$89,8,FALSE))</f>
        <v>4</v>
      </c>
      <c r="F79" s="9">
        <f>IF(VLOOKUP(A79,'03 诊断评分'!$A$6:$X$89,19,FALSE)="","",VLOOKUP(A79,'03 诊断评分'!$A$6:$X$89,19,FALSE))</f>
        <v>4</v>
      </c>
      <c r="G79" s="9" t="str">
        <f>VLOOKUP(A79,'03 诊断评分'!$A$6:$X$89,20,FALSE)</f>
        <v>高：关键基础补齐</v>
      </c>
      <c r="H79" s="10"/>
      <c r="I79" s="3" t="s">
        <v>919</v>
      </c>
      <c r="J79" s="10" t="s">
        <v>1442</v>
      </c>
      <c r="K79" s="10" t="s">
        <v>1453</v>
      </c>
      <c r="L79" s="10" t="s">
        <v>1454</v>
      </c>
      <c r="M79" s="10"/>
      <c r="N79" s="11"/>
      <c r="O79" s="11"/>
      <c r="P79" s="10"/>
      <c r="Q79" s="10" t="s">
        <v>114</v>
      </c>
      <c r="R79" s="10" t="s">
        <v>1290</v>
      </c>
    </row>
    <row r="80" ht="133" customHeight="1" spans="1:18">
      <c r="A80" s="3" t="s">
        <v>920</v>
      </c>
      <c r="B80" s="3" t="s">
        <v>73</v>
      </c>
      <c r="C80" s="3" t="s">
        <v>921</v>
      </c>
      <c r="D80" s="9">
        <f>IF(OR(VLOOKUP(A80,'03 诊断评分'!$A$6:$X$89,16,FALSE)="已评分",VLOOKUP(A80,'03 诊断评分'!$A$6:$X$89,16,FALSE)="资料已判定"),VLOOKUP(A80,'03 诊断评分'!$A$6:$X$89,7,FALSE),"")</f>
        <v>0</v>
      </c>
      <c r="E80" s="9">
        <f>IF(VLOOKUP(A80,'03 诊断评分'!$A$6:$X$89,19,FALSE)="","",VLOOKUP(A80,'03 诊断评分'!$A$6:$X$89,8,FALSE))</f>
        <v>4</v>
      </c>
      <c r="F80" s="9">
        <f>IF(VLOOKUP(A80,'03 诊断评分'!$A$6:$X$89,19,FALSE)="","",VLOOKUP(A80,'03 诊断评分'!$A$6:$X$89,19,FALSE))</f>
        <v>4</v>
      </c>
      <c r="G80" s="9" t="str">
        <f>VLOOKUP(A80,'03 诊断评分'!$A$6:$X$89,20,FALSE)</f>
        <v>高：业务改善</v>
      </c>
      <c r="H80" s="10"/>
      <c r="I80" s="3" t="s">
        <v>930</v>
      </c>
      <c r="J80" s="10" t="s">
        <v>1442</v>
      </c>
      <c r="K80" s="10" t="s">
        <v>1455</v>
      </c>
      <c r="L80" s="10" t="s">
        <v>1456</v>
      </c>
      <c r="M80" s="10"/>
      <c r="N80" s="11"/>
      <c r="O80" s="11"/>
      <c r="P80" s="10"/>
      <c r="Q80" s="10" t="s">
        <v>114</v>
      </c>
      <c r="R80" s="10" t="s">
        <v>1290</v>
      </c>
    </row>
    <row r="81" ht="133" customHeight="1" spans="1:18">
      <c r="A81" s="3" t="s">
        <v>931</v>
      </c>
      <c r="B81" s="3" t="s">
        <v>73</v>
      </c>
      <c r="C81" s="3" t="s">
        <v>932</v>
      </c>
      <c r="D81" s="9">
        <f>IF(OR(VLOOKUP(A81,'03 诊断评分'!$A$6:$X$89,16,FALSE)="已评分",VLOOKUP(A81,'03 诊断评分'!$A$6:$X$89,16,FALSE)="资料已判定"),VLOOKUP(A81,'03 诊断评分'!$A$6:$X$89,7,FALSE),"")</f>
        <v>0</v>
      </c>
      <c r="E81" s="9">
        <f>IF(VLOOKUP(A81,'03 诊断评分'!$A$6:$X$89,19,FALSE)="","",VLOOKUP(A81,'03 诊断评分'!$A$6:$X$89,8,FALSE))</f>
        <v>4</v>
      </c>
      <c r="F81" s="9">
        <f>IF(VLOOKUP(A81,'03 诊断评分'!$A$6:$X$89,19,FALSE)="","",VLOOKUP(A81,'03 诊断评分'!$A$6:$X$89,19,FALSE))</f>
        <v>4</v>
      </c>
      <c r="G81" s="9" t="str">
        <f>VLOOKUP(A81,'03 诊断评分'!$A$6:$X$89,20,FALSE)</f>
        <v>高：业务改善</v>
      </c>
      <c r="H81" s="10"/>
      <c r="I81" s="3" t="s">
        <v>941</v>
      </c>
      <c r="J81" s="10" t="s">
        <v>1442</v>
      </c>
      <c r="K81" s="10" t="s">
        <v>1457</v>
      </c>
      <c r="L81" s="10" t="s">
        <v>1458</v>
      </c>
      <c r="M81" s="10"/>
      <c r="N81" s="11"/>
      <c r="O81" s="11"/>
      <c r="P81" s="10"/>
      <c r="Q81" s="10" t="s">
        <v>114</v>
      </c>
      <c r="R81" s="10" t="s">
        <v>1290</v>
      </c>
    </row>
    <row r="82" ht="133" customHeight="1" spans="1:18">
      <c r="A82" s="3" t="s">
        <v>942</v>
      </c>
      <c r="B82" s="3" t="s">
        <v>74</v>
      </c>
      <c r="C82" s="3" t="s">
        <v>943</v>
      </c>
      <c r="D82" s="9">
        <f>IF(OR(VLOOKUP(A82,'03 诊断评分'!$A$6:$X$89,16,FALSE)="已评分",VLOOKUP(A82,'03 诊断评分'!$A$6:$X$89,16,FALSE)="资料已判定"),VLOOKUP(A82,'03 诊断评分'!$A$6:$X$89,7,FALSE),"")</f>
        <v>1</v>
      </c>
      <c r="E82" s="9">
        <f>IF(VLOOKUP(A82,'03 诊断评分'!$A$6:$X$89,19,FALSE)="","",VLOOKUP(A82,'03 诊断评分'!$A$6:$X$89,8,FALSE))</f>
        <v>3</v>
      </c>
      <c r="F82" s="9">
        <f>IF(VLOOKUP(A82,'03 诊断评分'!$A$6:$X$89,19,FALSE)="","",VLOOKUP(A82,'03 诊断评分'!$A$6:$X$89,19,FALSE))</f>
        <v>2</v>
      </c>
      <c r="G82" s="9" t="str">
        <f>VLOOKUP(A82,'03 诊断评分'!$A$6:$X$89,20,FALSE)</f>
        <v>高：关键基础补齐</v>
      </c>
      <c r="H82" s="10" t="s">
        <v>1459</v>
      </c>
      <c r="I82" s="3" t="s">
        <v>953</v>
      </c>
      <c r="J82" s="10" t="s">
        <v>1460</v>
      </c>
      <c r="K82" s="10" t="s">
        <v>1461</v>
      </c>
      <c r="L82" s="10" t="s">
        <v>1462</v>
      </c>
      <c r="M82" s="10"/>
      <c r="N82" s="11"/>
      <c r="O82" s="11"/>
      <c r="P82" s="10"/>
      <c r="Q82" s="10" t="s">
        <v>954</v>
      </c>
      <c r="R82" s="10" t="s">
        <v>1294</v>
      </c>
    </row>
    <row r="83" ht="133" customHeight="1" spans="1:18">
      <c r="A83" s="3" t="s">
        <v>955</v>
      </c>
      <c r="B83" s="3" t="s">
        <v>74</v>
      </c>
      <c r="C83" s="3" t="s">
        <v>956</v>
      </c>
      <c r="D83" s="9">
        <f>IF(OR(VLOOKUP(A83,'03 诊断评分'!$A$6:$X$89,16,FALSE)="已评分",VLOOKUP(A83,'03 诊断评分'!$A$6:$X$89,16,FALSE)="资料已判定"),VLOOKUP(A83,'03 诊断评分'!$A$6:$X$89,7,FALSE),"")</f>
        <v>1</v>
      </c>
      <c r="E83" s="9">
        <f>IF(VLOOKUP(A83,'03 诊断评分'!$A$6:$X$89,19,FALSE)="","",VLOOKUP(A83,'03 诊断评分'!$A$6:$X$89,8,FALSE))</f>
        <v>3</v>
      </c>
      <c r="F83" s="9">
        <f>IF(VLOOKUP(A83,'03 诊断评分'!$A$6:$X$89,19,FALSE)="","",VLOOKUP(A83,'03 诊断评分'!$A$6:$X$89,19,FALSE))</f>
        <v>2</v>
      </c>
      <c r="G83" s="9" t="str">
        <f>VLOOKUP(A83,'03 诊断评分'!$A$6:$X$89,20,FALSE)</f>
        <v>高：业务改善</v>
      </c>
      <c r="H83" s="10"/>
      <c r="I83" s="3" t="s">
        <v>965</v>
      </c>
      <c r="J83" s="10" t="s">
        <v>1460</v>
      </c>
      <c r="K83" s="10" t="s">
        <v>1463</v>
      </c>
      <c r="L83" s="10" t="s">
        <v>1464</v>
      </c>
      <c r="M83" s="10"/>
      <c r="N83" s="11"/>
      <c r="O83" s="11"/>
      <c r="P83" s="10"/>
      <c r="Q83" s="10" t="s">
        <v>954</v>
      </c>
      <c r="R83" s="10" t="s">
        <v>1290</v>
      </c>
    </row>
    <row r="84" ht="133" customHeight="1" spans="1:18">
      <c r="A84" s="3" t="s">
        <v>966</v>
      </c>
      <c r="B84" s="3" t="s">
        <v>74</v>
      </c>
      <c r="C84" s="3" t="s">
        <v>967</v>
      </c>
      <c r="D84" s="9" t="str">
        <f>IF(OR(VLOOKUP(A84,'03 诊断评分'!$A$6:$X$89,16,FALSE)="已评分",VLOOKUP(A84,'03 诊断评分'!$A$6:$X$89,16,FALSE)="资料已判定"),VLOOKUP(A84,'03 诊断评分'!$A$6:$X$89,7,FALSE),"")</f>
        <v/>
      </c>
      <c r="E84" s="9" t="str">
        <f>IF(VLOOKUP(A84,'03 诊断评分'!$A$6:$X$89,19,FALSE)="","",VLOOKUP(A84,'03 诊断评分'!$A$6:$X$89,8,FALSE))</f>
        <v/>
      </c>
      <c r="F84" s="9" t="str">
        <f>IF(VLOOKUP(A84,'03 诊断评分'!$A$6:$X$89,19,FALSE)="","",VLOOKUP(A84,'03 诊断评分'!$A$6:$X$89,19,FALSE))</f>
        <v/>
      </c>
      <c r="G84" s="9" t="str">
        <f>VLOOKUP(A84,'03 诊断评分'!$A$6:$X$89,20,FALSE)</f>
        <v>不适用</v>
      </c>
      <c r="H84" s="10"/>
      <c r="I84" s="3" t="s">
        <v>976</v>
      </c>
      <c r="J84" s="10" t="s">
        <v>1460</v>
      </c>
      <c r="K84" s="10" t="s">
        <v>1465</v>
      </c>
      <c r="L84" s="10" t="s">
        <v>1466</v>
      </c>
      <c r="M84" s="10"/>
      <c r="N84" s="11"/>
      <c r="O84" s="11"/>
      <c r="P84" s="10"/>
      <c r="Q84" s="10" t="s">
        <v>954</v>
      </c>
      <c r="R84" s="10" t="s">
        <v>1290</v>
      </c>
    </row>
    <row r="85" ht="133" customHeight="1" spans="1:18">
      <c r="A85" s="3" t="s">
        <v>977</v>
      </c>
      <c r="B85" s="3" t="s">
        <v>74</v>
      </c>
      <c r="C85" s="3" t="s">
        <v>978</v>
      </c>
      <c r="D85" s="9" t="str">
        <f>IF(OR(VLOOKUP(A85,'03 诊断评分'!$A$6:$X$89,16,FALSE)="已评分",VLOOKUP(A85,'03 诊断评分'!$A$6:$X$89,16,FALSE)="资料已判定"),VLOOKUP(A85,'03 诊断评分'!$A$6:$X$89,7,FALSE),"")</f>
        <v/>
      </c>
      <c r="E85" s="9" t="str">
        <f>IF(VLOOKUP(A85,'03 诊断评分'!$A$6:$X$89,19,FALSE)="","",VLOOKUP(A85,'03 诊断评分'!$A$6:$X$89,8,FALSE))</f>
        <v/>
      </c>
      <c r="F85" s="9" t="str">
        <f>IF(VLOOKUP(A85,'03 诊断评分'!$A$6:$X$89,19,FALSE)="","",VLOOKUP(A85,'03 诊断评分'!$A$6:$X$89,19,FALSE))</f>
        <v/>
      </c>
      <c r="G85" s="9" t="str">
        <f>VLOOKUP(A85,'03 诊断评分'!$A$6:$X$89,20,FALSE)</f>
        <v>不适用</v>
      </c>
      <c r="H85" s="10"/>
      <c r="I85" s="3" t="s">
        <v>987</v>
      </c>
      <c r="J85" s="10" t="s">
        <v>1460</v>
      </c>
      <c r="K85" s="10" t="s">
        <v>1467</v>
      </c>
      <c r="L85" s="10" t="s">
        <v>1468</v>
      </c>
      <c r="M85" s="10"/>
      <c r="N85" s="11"/>
      <c r="O85" s="11"/>
      <c r="P85" s="10"/>
      <c r="Q85" s="10" t="s">
        <v>954</v>
      </c>
      <c r="R85" s="10" t="s">
        <v>1290</v>
      </c>
    </row>
    <row r="86" ht="133" customHeight="1" spans="1:18">
      <c r="A86" s="3" t="s">
        <v>988</v>
      </c>
      <c r="B86" s="3" t="s">
        <v>74</v>
      </c>
      <c r="C86" s="3" t="s">
        <v>989</v>
      </c>
      <c r="D86" s="9">
        <f>IF(OR(VLOOKUP(A86,'03 诊断评分'!$A$6:$X$89,16,FALSE)="已评分",VLOOKUP(A86,'03 诊断评分'!$A$6:$X$89,16,FALSE)="资料已判定"),VLOOKUP(A86,'03 诊断评分'!$A$6:$X$89,7,FALSE),"")</f>
        <v>2</v>
      </c>
      <c r="E86" s="9">
        <f>IF(VLOOKUP(A86,'03 诊断评分'!$A$6:$X$89,19,FALSE)="","",VLOOKUP(A86,'03 诊断评分'!$A$6:$X$89,8,FALSE))</f>
        <v>3</v>
      </c>
      <c r="F86" s="9">
        <f>IF(VLOOKUP(A86,'03 诊断评分'!$A$6:$X$89,19,FALSE)="","",VLOOKUP(A86,'03 诊断评分'!$A$6:$X$89,19,FALSE))</f>
        <v>1</v>
      </c>
      <c r="G86" s="9" t="str">
        <f>VLOOKUP(A86,'03 诊断评分'!$A$6:$X$89,20,FALSE)</f>
        <v>高：业务改善</v>
      </c>
      <c r="H86" s="10"/>
      <c r="I86" s="3" t="s">
        <v>998</v>
      </c>
      <c r="J86" s="10" t="s">
        <v>1460</v>
      </c>
      <c r="K86" s="10" t="s">
        <v>1469</v>
      </c>
      <c r="L86" s="10" t="s">
        <v>1470</v>
      </c>
      <c r="M86" s="10"/>
      <c r="N86" s="11"/>
      <c r="O86" s="11"/>
      <c r="P86" s="10"/>
      <c r="Q86" s="10" t="s">
        <v>954</v>
      </c>
      <c r="R86" s="10" t="s">
        <v>1290</v>
      </c>
    </row>
    <row r="87" ht="133" customHeight="1" spans="1:18">
      <c r="A87" s="3" t="s">
        <v>999</v>
      </c>
      <c r="B87" s="3" t="s">
        <v>74</v>
      </c>
      <c r="C87" s="3" t="s">
        <v>1000</v>
      </c>
      <c r="D87" s="9">
        <f>IF(OR(VLOOKUP(A87,'03 诊断评分'!$A$6:$X$89,16,FALSE)="已评分",VLOOKUP(A87,'03 诊断评分'!$A$6:$X$89,16,FALSE)="资料已判定"),VLOOKUP(A87,'03 诊断评分'!$A$6:$X$89,7,FALSE),"")</f>
        <v>1</v>
      </c>
      <c r="E87" s="9">
        <f>IF(VLOOKUP(A87,'03 诊断评分'!$A$6:$X$89,19,FALSE)="","",VLOOKUP(A87,'03 诊断评分'!$A$6:$X$89,8,FALSE))</f>
        <v>3</v>
      </c>
      <c r="F87" s="9">
        <f>IF(VLOOKUP(A87,'03 诊断评分'!$A$6:$X$89,19,FALSE)="","",VLOOKUP(A87,'03 诊断评分'!$A$6:$X$89,19,FALSE))</f>
        <v>2</v>
      </c>
      <c r="G87" s="9" t="str">
        <f>VLOOKUP(A87,'03 诊断评分'!$A$6:$X$89,20,FALSE)</f>
        <v>中：能力提升</v>
      </c>
      <c r="H87" s="10" t="s">
        <v>1459</v>
      </c>
      <c r="I87" s="3" t="s">
        <v>1009</v>
      </c>
      <c r="J87" s="10" t="s">
        <v>1460</v>
      </c>
      <c r="K87" s="10" t="s">
        <v>1471</v>
      </c>
      <c r="L87" s="10" t="s">
        <v>1472</v>
      </c>
      <c r="M87" s="10"/>
      <c r="N87" s="11"/>
      <c r="O87" s="11"/>
      <c r="P87" s="10"/>
      <c r="Q87" s="10" t="s">
        <v>954</v>
      </c>
      <c r="R87" s="10" t="s">
        <v>1294</v>
      </c>
    </row>
    <row r="88" ht="133" customHeight="1" spans="1:18">
      <c r="A88" s="3" t="s">
        <v>1010</v>
      </c>
      <c r="B88" s="3" t="s">
        <v>74</v>
      </c>
      <c r="C88" s="3" t="s">
        <v>1011</v>
      </c>
      <c r="D88" s="9">
        <f>IF(OR(VLOOKUP(A88,'03 诊断评分'!$A$6:$X$89,16,FALSE)="已评分",VLOOKUP(A88,'03 诊断评分'!$A$6:$X$89,16,FALSE)="资料已判定"),VLOOKUP(A88,'03 诊断评分'!$A$6:$X$89,7,FALSE),"")</f>
        <v>1</v>
      </c>
      <c r="E88" s="9">
        <f>IF(VLOOKUP(A88,'03 诊断评分'!$A$6:$X$89,19,FALSE)="","",VLOOKUP(A88,'03 诊断评分'!$A$6:$X$89,8,FALSE))</f>
        <v>3</v>
      </c>
      <c r="F88" s="9">
        <f>IF(VLOOKUP(A88,'03 诊断评分'!$A$6:$X$89,19,FALSE)="","",VLOOKUP(A88,'03 诊断评分'!$A$6:$X$89,19,FALSE))</f>
        <v>2</v>
      </c>
      <c r="G88" s="9" t="str">
        <f>VLOOKUP(A88,'03 诊断评分'!$A$6:$X$89,20,FALSE)</f>
        <v>中：能力提升</v>
      </c>
      <c r="H88" s="10"/>
      <c r="I88" s="3" t="s">
        <v>1020</v>
      </c>
      <c r="J88" s="10" t="s">
        <v>1460</v>
      </c>
      <c r="K88" s="10" t="s">
        <v>1473</v>
      </c>
      <c r="L88" s="10" t="s">
        <v>1474</v>
      </c>
      <c r="M88" s="10"/>
      <c r="N88" s="11"/>
      <c r="O88" s="11"/>
      <c r="P88" s="10"/>
      <c r="Q88" s="10" t="s">
        <v>954</v>
      </c>
      <c r="R88" s="10" t="s">
        <v>1290</v>
      </c>
    </row>
    <row r="89" ht="133" customHeight="1" spans="1:18">
      <c r="A89" s="3" t="s">
        <v>1021</v>
      </c>
      <c r="B89" s="3" t="s">
        <v>74</v>
      </c>
      <c r="C89" s="3" t="s">
        <v>1022</v>
      </c>
      <c r="D89" s="9">
        <f>IF(OR(VLOOKUP(A89,'03 诊断评分'!$A$6:$X$89,16,FALSE)="已评分",VLOOKUP(A89,'03 诊断评分'!$A$6:$X$89,16,FALSE)="资料已判定"),VLOOKUP(A89,'03 诊断评分'!$A$6:$X$89,7,FALSE),"")</f>
        <v>1</v>
      </c>
      <c r="E89" s="9">
        <f>IF(VLOOKUP(A89,'03 诊断评分'!$A$6:$X$89,19,FALSE)="","",VLOOKUP(A89,'03 诊断评分'!$A$6:$X$89,8,FALSE))</f>
        <v>3</v>
      </c>
      <c r="F89" s="9">
        <f>IF(VLOOKUP(A89,'03 诊断评分'!$A$6:$X$89,19,FALSE)="","",VLOOKUP(A89,'03 诊断评分'!$A$6:$X$89,19,FALSE))</f>
        <v>2</v>
      </c>
      <c r="G89" s="9" t="str">
        <f>VLOOKUP(A89,'03 诊断评分'!$A$6:$X$89,20,FALSE)</f>
        <v>中：能力提升</v>
      </c>
      <c r="H89" s="10"/>
      <c r="I89" s="3" t="s">
        <v>1031</v>
      </c>
      <c r="J89" s="10" t="s">
        <v>1460</v>
      </c>
      <c r="K89" s="10" t="s">
        <v>1475</v>
      </c>
      <c r="L89" s="10" t="s">
        <v>1476</v>
      </c>
      <c r="M89" s="10"/>
      <c r="N89" s="11"/>
      <c r="O89" s="11"/>
      <c r="P89" s="10"/>
      <c r="Q89" s="10" t="s">
        <v>954</v>
      </c>
      <c r="R89" s="10" t="s">
        <v>1290</v>
      </c>
    </row>
  </sheetData>
  <mergeCells count="2">
    <mergeCell ref="A1:R1"/>
    <mergeCell ref="A2:R3"/>
  </mergeCells>
  <conditionalFormatting sqref="N6:O89">
    <cfRule type="expression" dxfId="0" priority="1">
      <formula>AND(ISNUMBER(N6),ISNUMBER(O6),O6&lt;N6)</formula>
    </cfRule>
  </conditionalFormatting>
  <dataValidations count="1">
    <dataValidation type="list" sqref="R6:R89">
      <formula1>"先补证,建议待评审,未制定,已评审,实施中,待验收,已完成,暂缓"</formula1>
    </dataValidation>
  </dataValidations>
  <pageMargins left="0.7" right="0.7" top="0.75" bottom="0.75" header="0.3" footer="0.3"/>
  <headerFooter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showGridLines="0" tabSelected="1" workbookViewId="0">
      <pane ySplit="5" topLeftCell="A6" activePane="bottomLeft" state="frozen"/>
      <selection/>
      <selection pane="bottomLeft" activeCell="B9" sqref="B9"/>
    </sheetView>
  </sheetViews>
  <sheetFormatPr defaultColWidth="9" defaultRowHeight="16.8" outlineLevelCol="4"/>
  <cols>
    <col min="1" max="1" width="29" customWidth="1"/>
    <col min="2" max="2" width="70" customWidth="1"/>
    <col min="3" max="3" width="66" customWidth="1"/>
    <col min="4" max="4" width="67" customWidth="1"/>
    <col min="5" max="5" width="80" customWidth="1"/>
  </cols>
  <sheetData>
    <row r="1" ht="38" customHeight="1" spans="1:5">
      <c r="A1" s="1" t="s">
        <v>1477</v>
      </c>
      <c r="B1" s="1"/>
      <c r="C1" s="1"/>
      <c r="D1" s="1"/>
      <c r="E1" s="1"/>
    </row>
    <row r="2" ht="23" customHeight="1" spans="1:5">
      <c r="A2" s="2" t="s">
        <v>1478</v>
      </c>
      <c r="B2" s="2"/>
      <c r="C2" s="2"/>
      <c r="D2" s="2"/>
      <c r="E2" s="2"/>
    </row>
    <row r="3" ht="23" customHeight="1" spans="1:5">
      <c r="A3" s="2"/>
      <c r="B3" s="2"/>
      <c r="C3" s="2"/>
      <c r="D3" s="2"/>
      <c r="E3" s="2"/>
    </row>
    <row r="4" spans="1:5">
      <c r="A4" s="3"/>
      <c r="B4" s="3"/>
      <c r="C4" s="3"/>
      <c r="D4" s="3"/>
      <c r="E4" s="3"/>
    </row>
    <row r="5" ht="42" customHeight="1" spans="1:5">
      <c r="A5" s="4" t="s">
        <v>1479</v>
      </c>
      <c r="B5" s="4" t="s">
        <v>1480</v>
      </c>
      <c r="C5" s="4" t="s">
        <v>1481</v>
      </c>
      <c r="D5" s="4" t="s">
        <v>1482</v>
      </c>
      <c r="E5" s="4" t="s">
        <v>1483</v>
      </c>
    </row>
    <row r="6" ht="85" customHeight="1" spans="1:5">
      <c r="A6" s="3" t="s">
        <v>1484</v>
      </c>
      <c r="B6" s="3" t="s">
        <v>1485</v>
      </c>
      <c r="C6" s="3" t="s">
        <v>1486</v>
      </c>
      <c r="D6" s="3" t="s">
        <v>1487</v>
      </c>
      <c r="E6" s="3" t="s">
        <v>1488</v>
      </c>
    </row>
    <row r="7" ht="85" customHeight="1" spans="1:5">
      <c r="A7" s="3" t="s">
        <v>1489</v>
      </c>
      <c r="B7" s="3" t="s">
        <v>1490</v>
      </c>
      <c r="C7" s="3" t="s">
        <v>1491</v>
      </c>
      <c r="D7" s="3" t="s">
        <v>1492</v>
      </c>
      <c r="E7" s="3" t="s">
        <v>1493</v>
      </c>
    </row>
    <row r="8" ht="85" customHeight="1" spans="1:5">
      <c r="A8" s="3" t="s">
        <v>1494</v>
      </c>
      <c r="B8" s="3" t="s">
        <v>1495</v>
      </c>
      <c r="C8" s="3" t="s">
        <v>1496</v>
      </c>
      <c r="D8" s="3" t="s">
        <v>1497</v>
      </c>
      <c r="E8" s="3" t="s">
        <v>1498</v>
      </c>
    </row>
    <row r="9" ht="85" customHeight="1" spans="1:5">
      <c r="A9" s="3" t="s">
        <v>1499</v>
      </c>
      <c r="B9" s="3" t="s">
        <v>1500</v>
      </c>
      <c r="C9" s="3" t="s">
        <v>1501</v>
      </c>
      <c r="D9" s="3" t="s">
        <v>1502</v>
      </c>
      <c r="E9" s="3" t="s">
        <v>1503</v>
      </c>
    </row>
    <row r="10" ht="85" customHeight="1" spans="1:5">
      <c r="A10" s="3" t="s">
        <v>114</v>
      </c>
      <c r="B10" s="3" t="s">
        <v>1504</v>
      </c>
      <c r="C10" s="3" t="s">
        <v>1505</v>
      </c>
      <c r="D10" s="3" t="s">
        <v>1506</v>
      </c>
      <c r="E10" s="3" t="s">
        <v>1507</v>
      </c>
    </row>
    <row r="11" ht="85" customHeight="1" spans="1:5">
      <c r="A11" s="3" t="s">
        <v>291</v>
      </c>
      <c r="B11" s="3" t="s">
        <v>1508</v>
      </c>
      <c r="C11" s="3" t="s">
        <v>1509</v>
      </c>
      <c r="D11" s="3" t="s">
        <v>1510</v>
      </c>
      <c r="E11" s="3" t="s">
        <v>1511</v>
      </c>
    </row>
    <row r="12" ht="85" customHeight="1" spans="1:5">
      <c r="A12" s="3" t="s">
        <v>954</v>
      </c>
      <c r="B12" s="3" t="s">
        <v>1512</v>
      </c>
      <c r="C12" s="3" t="s">
        <v>1513</v>
      </c>
      <c r="D12" s="3" t="s">
        <v>1514</v>
      </c>
      <c r="E12" s="3" t="s">
        <v>1515</v>
      </c>
    </row>
    <row r="13" ht="85" customHeight="1" spans="1:5">
      <c r="A13" s="3" t="s">
        <v>1516</v>
      </c>
      <c r="B13" s="3" t="s">
        <v>1517</v>
      </c>
      <c r="C13" s="3" t="s">
        <v>1518</v>
      </c>
      <c r="D13" s="3" t="s">
        <v>1519</v>
      </c>
      <c r="E13" s="3" t="s">
        <v>1520</v>
      </c>
    </row>
  </sheetData>
  <mergeCells count="2">
    <mergeCell ref="A1:E1"/>
    <mergeCell ref="A2:E3"/>
  </mergeCells>
  <pageMargins left="0.7" right="0.7" top="0.75" bottom="0.75" header="0.3" footer="0.3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showGridLines="0" workbookViewId="0">
      <pane xSplit="2" ySplit="5" topLeftCell="C6" activePane="bottomRight" state="frozen"/>
      <selection/>
      <selection pane="topRight"/>
      <selection pane="bottomLeft"/>
      <selection pane="bottomRight" activeCell="A1" sqref="A1:G1"/>
    </sheetView>
  </sheetViews>
  <sheetFormatPr defaultColWidth="9" defaultRowHeight="16.8" outlineLevelCol="6"/>
  <cols>
    <col min="1" max="1" width="12" customWidth="1"/>
    <col min="2" max="2" width="54" customWidth="1"/>
    <col min="3" max="3" width="51" customWidth="1"/>
    <col min="4" max="4" width="58" customWidth="1"/>
    <col min="5" max="5" width="70" customWidth="1"/>
    <col min="6" max="7" width="100" customWidth="1"/>
  </cols>
  <sheetData>
    <row r="1" ht="38" customHeight="1" spans="1:7">
      <c r="A1" s="1" t="s">
        <v>1521</v>
      </c>
      <c r="B1" s="1"/>
      <c r="C1" s="1"/>
      <c r="D1" s="1"/>
      <c r="E1" s="1"/>
      <c r="F1" s="1"/>
      <c r="G1" s="1"/>
    </row>
    <row r="2" ht="23" customHeight="1" spans="1:7">
      <c r="A2" s="2" t="s">
        <v>1522</v>
      </c>
      <c r="B2" s="2"/>
      <c r="C2" s="2"/>
      <c r="D2" s="2"/>
      <c r="E2" s="2"/>
      <c r="F2" s="2"/>
      <c r="G2" s="2"/>
    </row>
    <row r="3" ht="23" customHeight="1" spans="1:7">
      <c r="A3" s="2"/>
      <c r="B3" s="2"/>
      <c r="C3" s="2"/>
      <c r="D3" s="2"/>
      <c r="E3" s="2"/>
      <c r="F3" s="2"/>
      <c r="G3" s="2"/>
    </row>
    <row r="4" spans="1:7">
      <c r="A4" s="3"/>
      <c r="B4" s="3"/>
      <c r="C4" s="3"/>
      <c r="D4" s="3"/>
      <c r="E4" s="3"/>
      <c r="F4" s="3"/>
      <c r="G4" s="3"/>
    </row>
    <row r="5" ht="42" customHeight="1" spans="1:7">
      <c r="A5" s="4" t="s">
        <v>86</v>
      </c>
      <c r="B5" s="4" t="s">
        <v>1523</v>
      </c>
      <c r="C5" s="4" t="s">
        <v>1524</v>
      </c>
      <c r="D5" s="4" t="s">
        <v>1525</v>
      </c>
      <c r="E5" s="4" t="s">
        <v>1526</v>
      </c>
      <c r="F5" s="4" t="s">
        <v>1527</v>
      </c>
      <c r="G5" s="4" t="s">
        <v>1528</v>
      </c>
    </row>
    <row r="6" ht="120" customHeight="1" spans="1:7">
      <c r="A6" s="3" t="s">
        <v>1529</v>
      </c>
      <c r="B6" s="3" t="s">
        <v>1530</v>
      </c>
      <c r="C6" s="3" t="s">
        <v>1531</v>
      </c>
      <c r="D6" s="3" t="s">
        <v>1532</v>
      </c>
      <c r="E6" s="3" t="s">
        <v>1533</v>
      </c>
      <c r="F6" s="3" t="s">
        <v>1534</v>
      </c>
      <c r="G6" s="3" t="s">
        <v>1535</v>
      </c>
    </row>
    <row r="7" ht="120" customHeight="1" spans="1:7">
      <c r="A7" s="3" t="s">
        <v>1536</v>
      </c>
      <c r="B7" s="3" t="s">
        <v>1537</v>
      </c>
      <c r="C7" s="3" t="s">
        <v>1538</v>
      </c>
      <c r="D7" s="3" t="s">
        <v>1539</v>
      </c>
      <c r="E7" s="3" t="s">
        <v>1540</v>
      </c>
      <c r="F7" s="3" t="s">
        <v>1541</v>
      </c>
      <c r="G7" s="3" t="s">
        <v>1542</v>
      </c>
    </row>
    <row r="8" ht="120" customHeight="1" spans="1:7">
      <c r="A8" s="3" t="s">
        <v>1543</v>
      </c>
      <c r="B8" s="3" t="s">
        <v>1544</v>
      </c>
      <c r="C8" s="3" t="s">
        <v>1545</v>
      </c>
      <c r="D8" s="3" t="s">
        <v>1546</v>
      </c>
      <c r="E8" s="3" t="s">
        <v>1547</v>
      </c>
      <c r="F8" s="3" t="s">
        <v>1548</v>
      </c>
      <c r="G8" s="3" t="s">
        <v>1549</v>
      </c>
    </row>
    <row r="9" ht="120" customHeight="1" spans="1:7">
      <c r="A9" s="3" t="s">
        <v>1550</v>
      </c>
      <c r="B9" s="3" t="s">
        <v>1551</v>
      </c>
      <c r="C9" s="3" t="s">
        <v>1552</v>
      </c>
      <c r="D9" s="3" t="s">
        <v>1553</v>
      </c>
      <c r="E9" s="3" t="s">
        <v>1554</v>
      </c>
      <c r="F9" s="3" t="s">
        <v>1555</v>
      </c>
      <c r="G9" s="3" t="s">
        <v>1556</v>
      </c>
    </row>
    <row r="10" ht="120" customHeight="1" spans="1:7">
      <c r="A10" s="3" t="s">
        <v>1557</v>
      </c>
      <c r="B10" s="3" t="s">
        <v>1558</v>
      </c>
      <c r="C10" s="3" t="s">
        <v>1545</v>
      </c>
      <c r="D10" s="3" t="s">
        <v>1559</v>
      </c>
      <c r="E10" s="3" t="s">
        <v>1560</v>
      </c>
      <c r="F10" s="3" t="s">
        <v>1561</v>
      </c>
      <c r="G10" s="3" t="s">
        <v>1562</v>
      </c>
    </row>
    <row r="11" ht="120" customHeight="1" spans="1:7">
      <c r="A11" s="3" t="s">
        <v>1563</v>
      </c>
      <c r="B11" s="3" t="s">
        <v>1564</v>
      </c>
      <c r="C11" s="3" t="s">
        <v>1565</v>
      </c>
      <c r="D11" s="3" t="s">
        <v>1566</v>
      </c>
      <c r="E11" s="3" t="s">
        <v>1567</v>
      </c>
      <c r="F11" s="3" t="s">
        <v>1568</v>
      </c>
      <c r="G11" s="3" t="s">
        <v>1569</v>
      </c>
    </row>
    <row r="12" ht="120" customHeight="1" spans="1:7">
      <c r="A12" s="3" t="s">
        <v>1570</v>
      </c>
      <c r="B12" s="3" t="s">
        <v>1571</v>
      </c>
      <c r="C12" s="3" t="s">
        <v>1572</v>
      </c>
      <c r="D12" s="3" t="s">
        <v>1573</v>
      </c>
      <c r="E12" s="3" t="s">
        <v>1574</v>
      </c>
      <c r="F12" s="3" t="s">
        <v>1575</v>
      </c>
      <c r="G12" s="3" t="s">
        <v>1576</v>
      </c>
    </row>
    <row r="13" ht="120" customHeight="1" spans="1:7">
      <c r="A13" s="3" t="s">
        <v>1577</v>
      </c>
      <c r="B13" s="3" t="s">
        <v>1578</v>
      </c>
      <c r="C13" s="3" t="s">
        <v>1579</v>
      </c>
      <c r="D13" s="3" t="s">
        <v>1580</v>
      </c>
      <c r="E13" s="3" t="s">
        <v>1581</v>
      </c>
      <c r="F13" s="3" t="s">
        <v>1582</v>
      </c>
      <c r="G13" s="3" t="s">
        <v>1583</v>
      </c>
    </row>
    <row r="14" ht="120" customHeight="1" spans="1:7">
      <c r="A14" s="3" t="s">
        <v>1584</v>
      </c>
      <c r="B14" s="3" t="s">
        <v>1585</v>
      </c>
      <c r="C14" s="3" t="s">
        <v>1586</v>
      </c>
      <c r="D14" s="3" t="s">
        <v>1587</v>
      </c>
      <c r="E14" s="3" t="s">
        <v>1588</v>
      </c>
      <c r="F14" s="3" t="s">
        <v>1589</v>
      </c>
      <c r="G14" s="3" t="s">
        <v>1590</v>
      </c>
    </row>
    <row r="18" ht="38" customHeight="1" spans="1:7">
      <c r="A18" s="5" t="s">
        <v>1591</v>
      </c>
      <c r="B18" s="5" t="s">
        <v>1592</v>
      </c>
      <c r="C18" s="5" t="s">
        <v>1593</v>
      </c>
      <c r="D18" s="5" t="s">
        <v>1594</v>
      </c>
    </row>
    <row r="19" ht="80" customHeight="1" spans="1:7">
      <c r="A19" s="6" t="s">
        <v>64</v>
      </c>
      <c r="B19" s="6" t="s">
        <v>1595</v>
      </c>
      <c r="C19" s="6" t="s">
        <v>1596</v>
      </c>
      <c r="D19" s="6" t="s">
        <v>1597</v>
      </c>
    </row>
    <row r="20" ht="80" customHeight="1" spans="1:7">
      <c r="A20" s="6" t="s">
        <v>66</v>
      </c>
      <c r="B20" s="6" t="s">
        <v>1598</v>
      </c>
      <c r="C20" s="6" t="s">
        <v>1599</v>
      </c>
      <c r="D20" s="6" t="s">
        <v>1600</v>
      </c>
    </row>
    <row r="21" ht="80" customHeight="1" spans="1:7">
      <c r="A21" s="6" t="s">
        <v>67</v>
      </c>
      <c r="B21" s="6" t="s">
        <v>1601</v>
      </c>
      <c r="C21" s="6" t="s">
        <v>1602</v>
      </c>
      <c r="D21" s="6" t="s">
        <v>1603</v>
      </c>
    </row>
    <row r="22" ht="80" customHeight="1" spans="1:7">
      <c r="A22" s="6" t="s">
        <v>68</v>
      </c>
      <c r="B22" s="6" t="s">
        <v>1604</v>
      </c>
      <c r="C22" s="6" t="s">
        <v>1605</v>
      </c>
      <c r="D22" s="6" t="s">
        <v>1606</v>
      </c>
    </row>
    <row r="23" ht="80" customHeight="1" spans="1:7">
      <c r="A23" s="6" t="s">
        <v>69</v>
      </c>
      <c r="B23" s="6" t="s">
        <v>1607</v>
      </c>
      <c r="C23" s="6" t="s">
        <v>1608</v>
      </c>
      <c r="D23" s="6" t="s">
        <v>1609</v>
      </c>
    </row>
    <row r="24" ht="80" customHeight="1" spans="1:7">
      <c r="A24" s="6" t="s">
        <v>70</v>
      </c>
      <c r="B24" s="6" t="s">
        <v>1610</v>
      </c>
      <c r="C24" s="6" t="s">
        <v>1611</v>
      </c>
      <c r="D24" s="6" t="s">
        <v>1612</v>
      </c>
    </row>
    <row r="25" ht="80" customHeight="1" spans="1:7">
      <c r="A25" s="6" t="s">
        <v>71</v>
      </c>
      <c r="B25" s="6" t="s">
        <v>1613</v>
      </c>
      <c r="C25" s="6" t="s">
        <v>1614</v>
      </c>
      <c r="D25" s="6" t="s">
        <v>1615</v>
      </c>
    </row>
    <row r="26" ht="80" customHeight="1" spans="1:7">
      <c r="A26" s="6" t="s">
        <v>72</v>
      </c>
      <c r="B26" s="6" t="s">
        <v>1616</v>
      </c>
      <c r="C26" s="6" t="s">
        <v>1617</v>
      </c>
      <c r="D26" s="6" t="s">
        <v>1618</v>
      </c>
    </row>
    <row r="27" ht="80" customHeight="1" spans="1:7">
      <c r="A27" s="6" t="s">
        <v>73</v>
      </c>
      <c r="B27" s="6" t="s">
        <v>1619</v>
      </c>
      <c r="C27" s="6" t="s">
        <v>1620</v>
      </c>
      <c r="D27" s="6" t="s">
        <v>1621</v>
      </c>
    </row>
    <row r="28" ht="80" customHeight="1" spans="1:7">
      <c r="A28" s="6" t="s">
        <v>74</v>
      </c>
      <c r="B28" s="6" t="s">
        <v>1622</v>
      </c>
      <c r="C28" s="6" t="s">
        <v>1623</v>
      </c>
      <c r="D28" s="6" t="s">
        <v>1624</v>
      </c>
    </row>
    <row r="29" ht="80" customHeight="1" spans="1:7">
      <c r="A29" s="6" t="s">
        <v>1625</v>
      </c>
      <c r="B29" s="6" t="s">
        <v>1626</v>
      </c>
      <c r="C29" s="6" t="s">
        <v>1627</v>
      </c>
      <c r="D29" s="6" t="s">
        <v>1628</v>
      </c>
    </row>
    <row r="30" ht="80" customHeight="1" spans="1:7">
      <c r="A30" s="6" t="s">
        <v>1629</v>
      </c>
      <c r="B30" s="6" t="s">
        <v>1630</v>
      </c>
      <c r="C30" s="6" t="s">
        <v>1631</v>
      </c>
      <c r="D30" s="6" t="s">
        <v>1632</v>
      </c>
    </row>
    <row r="32" ht="30" customHeight="1" spans="1:7">
      <c r="A32" s="7" t="s">
        <v>1633</v>
      </c>
      <c r="B32" s="7"/>
      <c r="C32" s="7"/>
      <c r="D32" s="7"/>
      <c r="E32" s="7"/>
      <c r="F32" s="7"/>
      <c r="G32" s="7"/>
    </row>
    <row r="33" ht="38" customHeight="1" spans="1:7">
      <c r="A33" s="8" t="s">
        <v>1634</v>
      </c>
      <c r="B33" s="8"/>
      <c r="C33" s="8"/>
      <c r="D33" s="8"/>
      <c r="E33" s="8"/>
      <c r="F33" s="8"/>
      <c r="G33" s="8"/>
    </row>
    <row r="34" ht="42" customHeight="1" spans="1:7">
      <c r="A34" s="4" t="s">
        <v>1635</v>
      </c>
      <c r="B34" s="4" t="s">
        <v>1636</v>
      </c>
      <c r="C34" s="4" t="s">
        <v>1637</v>
      </c>
      <c r="D34" s="4" t="s">
        <v>1638</v>
      </c>
      <c r="E34" s="4" t="s">
        <v>1639</v>
      </c>
      <c r="F34" s="4" t="s">
        <v>1640</v>
      </c>
      <c r="G34" s="4" t="s">
        <v>1641</v>
      </c>
    </row>
    <row r="35" ht="138" customHeight="1" spans="1:7">
      <c r="A35" s="3" t="s">
        <v>475</v>
      </c>
      <c r="B35" s="3" t="s">
        <v>1642</v>
      </c>
      <c r="C35" s="3" t="s">
        <v>1643</v>
      </c>
      <c r="D35" s="3" t="s">
        <v>1644</v>
      </c>
      <c r="E35" s="3" t="s">
        <v>1645</v>
      </c>
      <c r="F35" s="3" t="s">
        <v>1646</v>
      </c>
      <c r="G35" s="3" t="s">
        <v>1647</v>
      </c>
    </row>
    <row r="36" ht="138" customHeight="1" spans="1:7">
      <c r="A36" s="3" t="s">
        <v>487</v>
      </c>
      <c r="B36" s="3" t="s">
        <v>1648</v>
      </c>
      <c r="C36" s="3" t="s">
        <v>1649</v>
      </c>
      <c r="D36" s="3" t="s">
        <v>1650</v>
      </c>
      <c r="E36" s="3" t="s">
        <v>1651</v>
      </c>
      <c r="F36" s="3" t="s">
        <v>1652</v>
      </c>
      <c r="G36" s="3" t="s">
        <v>1653</v>
      </c>
    </row>
    <row r="37" ht="138" customHeight="1" spans="1:7">
      <c r="A37" s="3" t="s">
        <v>498</v>
      </c>
      <c r="B37" s="3" t="s">
        <v>1654</v>
      </c>
      <c r="C37" s="3" t="s">
        <v>1655</v>
      </c>
      <c r="D37" s="3" t="s">
        <v>1656</v>
      </c>
      <c r="E37" s="3" t="s">
        <v>1657</v>
      </c>
      <c r="F37" s="3" t="s">
        <v>1658</v>
      </c>
      <c r="G37" s="3" t="s">
        <v>1659</v>
      </c>
    </row>
    <row r="38" ht="138" customHeight="1" spans="1:7">
      <c r="A38" s="3" t="s">
        <v>509</v>
      </c>
      <c r="B38" s="3" t="s">
        <v>1660</v>
      </c>
      <c r="C38" s="3" t="s">
        <v>1661</v>
      </c>
      <c r="D38" s="3" t="s">
        <v>1662</v>
      </c>
      <c r="E38" s="3" t="s">
        <v>1663</v>
      </c>
      <c r="F38" s="3" t="s">
        <v>1664</v>
      </c>
      <c r="G38" s="3" t="s">
        <v>1665</v>
      </c>
    </row>
    <row r="39" ht="138" customHeight="1" spans="1:7">
      <c r="A39" s="3" t="s">
        <v>520</v>
      </c>
      <c r="B39" s="3" t="s">
        <v>1666</v>
      </c>
      <c r="C39" s="3" t="s">
        <v>1667</v>
      </c>
      <c r="D39" s="3" t="s">
        <v>1668</v>
      </c>
      <c r="E39" s="3" t="s">
        <v>1669</v>
      </c>
      <c r="F39" s="3" t="s">
        <v>1670</v>
      </c>
      <c r="G39" s="3" t="s">
        <v>1671</v>
      </c>
    </row>
    <row r="40" ht="138" customHeight="1" spans="1:7">
      <c r="A40" s="3" t="s">
        <v>531</v>
      </c>
      <c r="B40" s="3" t="s">
        <v>1672</v>
      </c>
      <c r="C40" s="3" t="s">
        <v>1673</v>
      </c>
      <c r="D40" s="3" t="s">
        <v>1674</v>
      </c>
      <c r="E40" s="3" t="s">
        <v>1675</v>
      </c>
      <c r="F40" s="3" t="s">
        <v>1676</v>
      </c>
      <c r="G40" s="3" t="s">
        <v>1677</v>
      </c>
    </row>
    <row r="41" ht="138" customHeight="1" spans="1:7">
      <c r="A41" s="3" t="s">
        <v>542</v>
      </c>
      <c r="B41" s="3" t="s">
        <v>1678</v>
      </c>
      <c r="C41" s="3" t="s">
        <v>1673</v>
      </c>
      <c r="D41" s="3" t="s">
        <v>1679</v>
      </c>
      <c r="E41" s="3" t="s">
        <v>1680</v>
      </c>
      <c r="F41" s="3" t="s">
        <v>1681</v>
      </c>
      <c r="G41" s="3" t="s">
        <v>1682</v>
      </c>
    </row>
    <row r="42" ht="138" customHeight="1" spans="1:7">
      <c r="A42" s="3" t="s">
        <v>553</v>
      </c>
      <c r="B42" s="3" t="s">
        <v>1683</v>
      </c>
      <c r="C42" s="3" t="s">
        <v>1684</v>
      </c>
      <c r="D42" s="3" t="s">
        <v>1685</v>
      </c>
      <c r="E42" s="3" t="s">
        <v>1686</v>
      </c>
      <c r="F42" s="3" t="s">
        <v>1687</v>
      </c>
      <c r="G42" s="3" t="s">
        <v>1688</v>
      </c>
    </row>
    <row r="43" ht="138" customHeight="1" spans="1:7">
      <c r="A43" s="3" t="s">
        <v>1689</v>
      </c>
      <c r="B43" s="3" t="s">
        <v>1690</v>
      </c>
      <c r="C43" s="3" t="s">
        <v>1691</v>
      </c>
      <c r="D43" s="3" t="s">
        <v>1692</v>
      </c>
      <c r="E43" s="3" t="s">
        <v>1693</v>
      </c>
      <c r="F43" s="3" t="s">
        <v>1694</v>
      </c>
      <c r="G43" s="3" t="s">
        <v>1695</v>
      </c>
    </row>
    <row r="44" ht="138" customHeight="1" spans="1:7">
      <c r="A44" s="3" t="s">
        <v>1696</v>
      </c>
      <c r="B44" s="3" t="s">
        <v>1697</v>
      </c>
      <c r="C44" s="3" t="s">
        <v>1698</v>
      </c>
      <c r="D44" s="3" t="s">
        <v>1699</v>
      </c>
      <c r="E44" s="3" t="s">
        <v>1700</v>
      </c>
      <c r="F44" s="3" t="s">
        <v>1701</v>
      </c>
      <c r="G44" s="3" t="s">
        <v>1702</v>
      </c>
    </row>
    <row r="45" ht="138" customHeight="1" spans="1:7">
      <c r="A45" s="3" t="s">
        <v>1703</v>
      </c>
      <c r="B45" s="3" t="s">
        <v>1704</v>
      </c>
      <c r="C45" s="3" t="s">
        <v>1705</v>
      </c>
      <c r="D45" s="3" t="s">
        <v>1706</v>
      </c>
      <c r="E45" s="3" t="s">
        <v>1707</v>
      </c>
      <c r="F45" s="3" t="s">
        <v>1708</v>
      </c>
      <c r="G45" s="3" t="s">
        <v>1709</v>
      </c>
    </row>
    <row r="46" ht="138" customHeight="1" spans="1:7">
      <c r="A46" s="3" t="s">
        <v>1710</v>
      </c>
      <c r="B46" s="3" t="s">
        <v>1711</v>
      </c>
      <c r="C46" s="3" t="s">
        <v>1712</v>
      </c>
      <c r="D46" s="3" t="s">
        <v>1713</v>
      </c>
      <c r="E46" s="3" t="s">
        <v>1714</v>
      </c>
      <c r="F46" s="3" t="s">
        <v>1715</v>
      </c>
      <c r="G46" s="3" t="s">
        <v>1716</v>
      </c>
    </row>
    <row r="47" ht="138" customHeight="1" spans="1:7">
      <c r="A47" s="3" t="s">
        <v>1717</v>
      </c>
      <c r="B47" s="3" t="s">
        <v>1718</v>
      </c>
      <c r="C47" s="3" t="s">
        <v>1719</v>
      </c>
      <c r="D47" s="3" t="s">
        <v>1720</v>
      </c>
      <c r="E47" s="3" t="s">
        <v>1721</v>
      </c>
      <c r="F47" s="3" t="s">
        <v>1722</v>
      </c>
      <c r="G47" s="3" t="s">
        <v>1723</v>
      </c>
    </row>
    <row r="48" ht="138" customHeight="1" spans="1:7">
      <c r="A48" s="3" t="s">
        <v>1724</v>
      </c>
      <c r="B48" s="3" t="s">
        <v>1725</v>
      </c>
      <c r="C48" s="3" t="s">
        <v>1726</v>
      </c>
      <c r="D48" s="3" t="s">
        <v>1727</v>
      </c>
      <c r="E48" s="3" t="s">
        <v>1728</v>
      </c>
      <c r="F48" s="3" t="s">
        <v>1729</v>
      </c>
      <c r="G48" s="3" t="s">
        <v>1730</v>
      </c>
    </row>
    <row r="49" ht="138" customHeight="1" spans="1:7">
      <c r="A49" s="3" t="s">
        <v>1731</v>
      </c>
      <c r="B49" s="3" t="s">
        <v>1732</v>
      </c>
      <c r="C49" s="3" t="s">
        <v>1673</v>
      </c>
      <c r="D49" s="3" t="s">
        <v>1733</v>
      </c>
      <c r="E49" s="3" t="s">
        <v>1734</v>
      </c>
      <c r="F49" s="3" t="s">
        <v>1735</v>
      </c>
      <c r="G49" s="3" t="s">
        <v>1736</v>
      </c>
    </row>
    <row r="50" ht="138" customHeight="1" spans="1:7">
      <c r="A50" s="3" t="s">
        <v>1737</v>
      </c>
      <c r="B50" s="3" t="s">
        <v>1738</v>
      </c>
      <c r="C50" s="3" t="s">
        <v>1673</v>
      </c>
      <c r="D50" s="3" t="s">
        <v>1739</v>
      </c>
      <c r="E50" s="3" t="s">
        <v>1740</v>
      </c>
      <c r="F50" s="3" t="s">
        <v>1741</v>
      </c>
      <c r="G50" s="3" t="s">
        <v>1742</v>
      </c>
    </row>
    <row r="51" ht="138" customHeight="1" spans="1:7">
      <c r="A51" s="3" t="s">
        <v>1743</v>
      </c>
      <c r="B51" s="3" t="s">
        <v>1744</v>
      </c>
      <c r="C51" s="3" t="s">
        <v>1684</v>
      </c>
      <c r="D51" s="3" t="s">
        <v>1745</v>
      </c>
      <c r="E51" s="3" t="s">
        <v>1746</v>
      </c>
      <c r="F51" s="3" t="s">
        <v>1747</v>
      </c>
      <c r="G51" s="3" t="s">
        <v>1748</v>
      </c>
    </row>
    <row r="52" ht="158" customHeight="1" spans="1:7">
      <c r="A52" s="3" t="s">
        <v>1749</v>
      </c>
      <c r="B52" s="3" t="s">
        <v>1750</v>
      </c>
      <c r="C52" s="3" t="s">
        <v>1751</v>
      </c>
      <c r="D52" s="3" t="s">
        <v>1752</v>
      </c>
      <c r="E52" s="3" t="s">
        <v>1753</v>
      </c>
      <c r="F52" s="3" t="s">
        <v>1754</v>
      </c>
      <c r="G52" s="3" t="s">
        <v>1755</v>
      </c>
    </row>
    <row r="53" ht="158" customHeight="1" spans="1:7">
      <c r="A53" s="3" t="s">
        <v>1756</v>
      </c>
      <c r="B53" s="3" t="s">
        <v>1757</v>
      </c>
      <c r="C53" s="3" t="s">
        <v>1751</v>
      </c>
      <c r="D53" s="3" t="s">
        <v>1758</v>
      </c>
      <c r="E53" s="3" t="s">
        <v>1759</v>
      </c>
      <c r="F53" s="3" t="s">
        <v>1760</v>
      </c>
      <c r="G53" s="3" t="s">
        <v>1761</v>
      </c>
    </row>
  </sheetData>
  <mergeCells count="4">
    <mergeCell ref="A1:G1"/>
    <mergeCell ref="A32:G32"/>
    <mergeCell ref="A33:G33"/>
    <mergeCell ref="A2:G3"/>
  </mergeCells>
  <pageMargins left="0.7" right="0.7" top="0.75" bottom="0.75" header="0.3" footer="0.3"/>
  <headerFooter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00 使用与评分规则</vt:lpstr>
      <vt:lpstr>01 参数</vt:lpstr>
      <vt:lpstr>02 评分标准</vt:lpstr>
      <vt:lpstr>03 诊断评分</vt:lpstr>
      <vt:lpstr>04 诊断汇总</vt:lpstr>
      <vt:lpstr>05 建设计划</vt:lpstr>
      <vt:lpstr>06 填写示例</vt:lpstr>
      <vt:lpstr>07 参考依据与取舍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柳钦</cp:lastModifiedBy>
  <dcterms:created xsi:type="dcterms:W3CDTF">2026-10-20T18:13:15Z</dcterms:created>
  <dcterms:modified xsi:type="dcterms:W3CDTF">2026-10-20T20:15:52Z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143EF4956F6587F99A53D76AE4E14F52_42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